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Denne_projektmappe"/>
  <xr:revisionPtr revIDLastSave="0" documentId="8_{54AA54E0-89F2-4ADB-98A4-45CC4D7D9FEF}" xr6:coauthVersionLast="46" xr6:coauthVersionMax="46" xr10:uidLastSave="{00000000-0000-0000-0000-000000000000}"/>
  <bookViews>
    <workbookView showHorizontalScroll="0" showVerticalScroll="0" xWindow="-28920" yWindow="-120" windowWidth="29040" windowHeight="15840" firstSheet="1" activeTab="1" xr2:uid="{00000000-000D-0000-FFFF-FFFF00000000}"/>
  </bookViews>
  <sheets>
    <sheet name="Dataark" sheetId="5" state="hidden" r:id="rId1"/>
    <sheet name="Betalingsopgørelse" sheetId="1" r:id="rId2"/>
    <sheet name="Tilmeldingsoversigt" sheetId="2" r:id="rId3"/>
    <sheet name="Tilmeldte måltider" sheetId="3" state="hidden" r:id="rId4"/>
    <sheet name="Til- og framelding" sheetId="4" r:id="rId5"/>
  </sheets>
  <definedNames>
    <definedName name="Aftenpris">Tilmeldingsoversigt!$C$17</definedName>
    <definedName name="Aftensmad">Tilmeldingsoversigt!$B$9</definedName>
    <definedName name="aktive_måneder">Betalingsopgørelse!$H$7</definedName>
    <definedName name="April">'Til- og framelding'!$B$179</definedName>
    <definedName name="april_sum">'Tilmeldte måltider'!$P$185</definedName>
    <definedName name="AprSøn1" localSheetId="4">DATE('Til- og framelding'!Kalenderår,4,1)-WEEKDAY(DATE('Til- og framelding'!Kalenderår,4,1),2)</definedName>
    <definedName name="AprSøn1">DATE(Kalenderår,4,1)-WEEKDAY(DATE(Kalenderår,4,1),2)</definedName>
    <definedName name="AugSøn1" localSheetId="4">DATE('Til- og framelding'!Kalenderår,8,1)-WEEKDAY(DATE('Til- og framelding'!Kalenderår,8,1),2)</definedName>
    <definedName name="AugSøn1">DATE(Kalenderår,8,1)-WEEKDAY(DATE(Kalenderår,8,1),2)</definedName>
    <definedName name="august">'Til- og framelding'!$B$415</definedName>
    <definedName name="august_sum">'Tilmeldte måltider'!$P$425</definedName>
    <definedName name="Begyndelsesmåned" localSheetId="4">'Til- og framelding'!$B$5</definedName>
    <definedName name="Begyndelsesmåned">'Tilmeldte måltider'!$B$5</definedName>
    <definedName name="biret">Tilmeldingsoversigt!$B$10</definedName>
    <definedName name="biretpris">Tilmeldingsoversigt!$C$18</definedName>
    <definedName name="birettotal">'Tilmeldte måltider'!$L$4</definedName>
    <definedName name="bolignr">Betalingsopgørelse!$C$4</definedName>
    <definedName name="cpr">Betalingsopgørelse!$C$5</definedName>
    <definedName name="dage_1halvår">Tilmeldingsoversigt!$P$16</definedName>
    <definedName name="december">'Til- og framelding'!$B$651</definedName>
    <definedName name="december_sum">'Tilmeldte måltider'!$P$665</definedName>
    <definedName name="DecSøn1" localSheetId="4">DATE('Til- og framelding'!Kalenderår,12,1)-WEEKDAY(DATE('Til- og framelding'!Kalenderår,12,1),2)</definedName>
    <definedName name="DecSøn1">DATE(Kalenderår,12,1)-WEEKDAY(DATE(Kalenderår,12,1),2)</definedName>
    <definedName name="Februar">'Til- og framelding'!$B$61</definedName>
    <definedName name="februar_sum">'Tilmeldte måltider'!$P$65</definedName>
    <definedName name="FebSøn1" localSheetId="4">DATE('Til- og framelding'!Kalenderår,2,1)-WEEKDAY(DATE('Til- og framelding'!Kalenderår,2,1),2)</definedName>
    <definedName name="FebSøn1">DATE(Kalenderår,2,1)-WEEKDAY(DATE(Kalenderår,2,1),2)</definedName>
    <definedName name="Frokostpris">Tilmeldingsoversigt!$C$16</definedName>
    <definedName name="gæstebpris">Tilmeldingsoversigt!$C$21</definedName>
    <definedName name="gæstehpris">Tilmeldingsoversigt!$C$20</definedName>
    <definedName name="gæstempltid_hovedret">Tilmeldingsoversigt!$B$20</definedName>
    <definedName name="gæstemåltid">Tilmeldingsoversigt!$B$21</definedName>
    <definedName name="gæstemåltid_biret">Tilmeldingsoversigt!$B$21</definedName>
    <definedName name="hovedret">Tilmeldingsoversigt!$B$8</definedName>
    <definedName name="hovedtotal">'Tilmeldte måltider'!$N$3</definedName>
    <definedName name="JanSøn1" localSheetId="4">DATE('Til- og framelding'!Kalenderår,1,1)-WEEKDAY(DATE('Til- og framelding'!Kalenderår,1,1),2)</definedName>
    <definedName name="JanSøn1">DATE(Kalenderår,1,1)-WEEKDAY(DATE(Kalenderår,1,1),2)</definedName>
    <definedName name="Januar">'Til- og framelding'!$B$2</definedName>
    <definedName name="Januar_sum">'Tilmeldte måltider'!$P$5</definedName>
    <definedName name="juli">'Til- og framelding'!$B$356</definedName>
    <definedName name="juli_sum">'Tilmeldte måltider'!$P$365</definedName>
    <definedName name="JulSøn1" localSheetId="4">DATE('Til- og framelding'!Kalenderår,7,1)-WEEKDAY(DATE('Til- og framelding'!Kalenderår,7,1),2)</definedName>
    <definedName name="JulSøn1">DATE(Kalenderår,7,1)-WEEKDAY(DATE(Kalenderår,7,1),2)</definedName>
    <definedName name="Juni">'Til- og framelding'!$B$297</definedName>
    <definedName name="juni_sum">'Tilmeldte måltider'!$P$305</definedName>
    <definedName name="JunSøn1" localSheetId="4">DATE('Til- og framelding'!Kalenderår,6,1)-WEEKDAY(DATE('Til- og framelding'!Kalenderår,6,1),2)</definedName>
    <definedName name="JunSøn1">DATE(Kalenderår,6,1)-WEEKDAY(DATE(Kalenderår,6,1),2)</definedName>
    <definedName name="Kalenderår" localSheetId="4">'Til- og framelding'!År1</definedName>
    <definedName name="Kalenderår">'Tilmeldte måltider'!År1</definedName>
    <definedName name="Kolonnetitel1" localSheetId="4">Data[[#Headers],[Faste ydelser*]]</definedName>
    <definedName name="Kolonnetitel1">Data[[#Headers],[Faste ydelser*]]</definedName>
    <definedName name="Maj">'Til- og framelding'!$B$238</definedName>
    <definedName name="maj_sum">'Tilmeldte måltider'!$P$245</definedName>
    <definedName name="MajSøn1" localSheetId="4">DATE('Til- og framelding'!Kalenderår,5,1)-WEEKDAY(DATE('Til- og framelding'!Kalenderår,5,1),2)</definedName>
    <definedName name="MajSøn1">DATE(Kalenderår,5,1)-WEEKDAY(DATE(Kalenderår,5,1),2)</definedName>
    <definedName name="MarSøn1" localSheetId="4">DATE('Til- og framelding'!Kalenderår,3,1)-WEEKDAY(DATE('Til- og framelding'!Kalenderår,3,1),2)</definedName>
    <definedName name="MarSøn1">DATE(Kalenderår,3,1)-WEEKDAY(DATE(Kalenderår,3,1),2)</definedName>
    <definedName name="Marts">'Til- og framelding'!$B$120</definedName>
    <definedName name="marts_sum">'Tilmeldte måltider'!$P$125</definedName>
    <definedName name="mellemmåltid">Tilmeldingsoversigt!$B$11</definedName>
    <definedName name="mellemmåltidspris">Tilmeldingsoversigt!$C$19</definedName>
    <definedName name="Morgenmad">Tilmeldingsoversigt!$B$7</definedName>
    <definedName name="Morgenpris">Tilmeldingsoversigt!$C$15</definedName>
    <definedName name="Måned1" localSheetId="4">'Til- og framelding'!$B$3</definedName>
    <definedName name="Måned1" localSheetId="3">'Tilmeldte måltider'!$B$3</definedName>
    <definedName name="månedligtotal">'Tilmeldte måltider'!$P$3</definedName>
    <definedName name="månedspris">Tilmeldingsoversigt!$C$23</definedName>
    <definedName name="navn">Betalingsopgørelse!$C$2</definedName>
    <definedName name="november">'Til- og framelding'!$B$592</definedName>
    <definedName name="november_sum">'Tilmeldte måltider'!$P$605</definedName>
    <definedName name="NovSøn1" localSheetId="4">DATE('Til- og framelding'!Kalenderår,11,1)-WEEKDAY(DATE('Til- og framelding'!Kalenderår,11,1),2)</definedName>
    <definedName name="NovSøn1">DATE(Kalenderår,11,1)-WEEKDAY(DATE(Kalenderår,11,1),2)</definedName>
    <definedName name="oktober">'Til- og framelding'!$B$533</definedName>
    <definedName name="oktober_sum">'Tilmeldte måltider'!$P$545</definedName>
    <definedName name="OktSøn1" localSheetId="4">DATE('Til- og framelding'!Kalenderår,10,1)-WEEKDAY(DATE('Til- og framelding'!Kalenderår,10,1),2)</definedName>
    <definedName name="OktSøn1">DATE(Kalenderår,10,1)-WEEKDAY(DATE(Kalenderår,10,1),2)</definedName>
    <definedName name="plejehjem">Dataark!$L$5:$L$10</definedName>
    <definedName name="RækkeTitelOmråde1..C4">Betalingsopgørelse!$B$3</definedName>
    <definedName name="RækkeTitelOmråde2..G4">Betalingsopgørelse!$F$3</definedName>
    <definedName name="RækkeTitelOmråde3..C8" localSheetId="4">Betalingsopgørelse!#REF!</definedName>
    <definedName name="RækkeTitelOmråde3..C8">Betalingsopgørelse!#REF!</definedName>
    <definedName name="RækkeTitelOmråde4..G10" localSheetId="4">Betalingsopgørelse!#REF!</definedName>
    <definedName name="RækkeTitelOmråde4..G10">Betalingsopgørelse!#REF!</definedName>
    <definedName name="RækkeTitelOmråde5..C27" localSheetId="4">Betalingsopgørelse!#REF!</definedName>
    <definedName name="RækkeTitelOmråde5..C27">Betalingsopgørelse!#REF!</definedName>
    <definedName name="SepSøn1" localSheetId="4">DATE('Til- og framelding'!Kalenderår,9,1)-WEEKDAY(DATE('Til- og framelding'!Kalenderår,9,1),2)</definedName>
    <definedName name="SepSøn1">DATE(Kalenderår,9,1)-WEEKDAY(DATE(Kalenderår,9,1),2)</definedName>
    <definedName name="september">'Til- og framelding'!$B$474</definedName>
    <definedName name="september_sum">'Tilmeldte måltider'!$P$485</definedName>
    <definedName name="slut_februar">'Tilmeldte måltider'!$N$64</definedName>
    <definedName name="slut_måned">Betalingsopgørelse!$F$6</definedName>
    <definedName name="start_måned">Betalingsopgørelse!$C$6</definedName>
    <definedName name="sted">Betalingsopgørelse!$C$3</definedName>
    <definedName name="til_februar">'Tilmeldte måltider'!$L$64</definedName>
    <definedName name="til_januar">'Tilmeldte måltider'!$N$4</definedName>
    <definedName name="_xlnm.Print_Area" localSheetId="4">'Til- og framelding'!$B$60:$O$708</definedName>
    <definedName name="_xlnm.Print_Area" localSheetId="2">Tilmeldingsoversigt!$B$1:$K$51</definedName>
    <definedName name="_xlnm.Print_Area" localSheetId="3">'Tilmeldte måltider'!$B$2:$P$719</definedName>
    <definedName name="_xlnm.Print_Titles" localSheetId="1">Betalingsopgørelse!$16:$16</definedName>
    <definedName name="_xlnm.Print_Titles" localSheetId="4">'Til- og framelding'!$1:$1</definedName>
    <definedName name="_xlnm.Print_Titles" localSheetId="3">'Tilmeldte måltider'!$1:$1</definedName>
    <definedName name="År1" localSheetId="4">VALUE(LEFT('Til- og framelding'!$B$1,4))</definedName>
    <definedName name="År1" localSheetId="3">VALUE(LEFT('Tilmeldte måltider'!$B$1,4))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9" i="3" l="1"/>
  <c r="C109" i="3" s="1"/>
  <c r="B108" i="3"/>
  <c r="B107" i="3"/>
  <c r="B106" i="3"/>
  <c r="B105" i="3"/>
  <c r="H169" i="3"/>
  <c r="I169" i="3" s="1"/>
  <c r="H168" i="3"/>
  <c r="H167" i="3"/>
  <c r="H166" i="3"/>
  <c r="H165" i="3"/>
  <c r="L229" i="3"/>
  <c r="M229" i="3" s="1"/>
  <c r="L228" i="3"/>
  <c r="L227" i="3"/>
  <c r="L226" i="3"/>
  <c r="L225" i="3"/>
  <c r="D298" i="3"/>
  <c r="E298" i="3" s="1"/>
  <c r="D297" i="3"/>
  <c r="D296" i="3"/>
  <c r="D295" i="3"/>
  <c r="D294" i="3"/>
  <c r="H349" i="3"/>
  <c r="I349" i="3" s="1"/>
  <c r="H348" i="3"/>
  <c r="H347" i="3"/>
  <c r="H346" i="3"/>
  <c r="H345" i="3"/>
  <c r="N409" i="3"/>
  <c r="O409" i="3" s="1"/>
  <c r="N408" i="3"/>
  <c r="N407" i="3"/>
  <c r="N406" i="3"/>
  <c r="N405" i="3"/>
  <c r="N433" i="3"/>
  <c r="O433" i="3" s="1"/>
  <c r="L433" i="3"/>
  <c r="M433" i="3" s="1"/>
  <c r="J433" i="3"/>
  <c r="K433" i="3" s="1"/>
  <c r="H433" i="3"/>
  <c r="I433" i="3" s="1"/>
  <c r="F433" i="3"/>
  <c r="G433" i="3" s="1"/>
  <c r="D433" i="3"/>
  <c r="E433" i="3" s="1"/>
  <c r="B433" i="3"/>
  <c r="C433" i="3" s="1"/>
  <c r="N432" i="3"/>
  <c r="L432" i="3"/>
  <c r="J432" i="3"/>
  <c r="H432" i="3"/>
  <c r="F432" i="3"/>
  <c r="D432" i="3"/>
  <c r="B432" i="3"/>
  <c r="N431" i="3"/>
  <c r="L431" i="3"/>
  <c r="J431" i="3"/>
  <c r="H431" i="3"/>
  <c r="F431" i="3"/>
  <c r="D431" i="3"/>
  <c r="B431" i="3"/>
  <c r="N430" i="3"/>
  <c r="L430" i="3"/>
  <c r="J430" i="3"/>
  <c r="H430" i="3"/>
  <c r="F430" i="3"/>
  <c r="D430" i="3"/>
  <c r="B430" i="3"/>
  <c r="N429" i="3"/>
  <c r="L429" i="3"/>
  <c r="J429" i="3"/>
  <c r="H429" i="3"/>
  <c r="F429" i="3"/>
  <c r="D429" i="3"/>
  <c r="B429" i="3"/>
  <c r="F469" i="3"/>
  <c r="G469" i="3" s="1"/>
  <c r="F468" i="3"/>
  <c r="F467" i="3"/>
  <c r="F466" i="3"/>
  <c r="F465" i="3"/>
  <c r="J529" i="3"/>
  <c r="K529" i="3" s="1"/>
  <c r="J528" i="3"/>
  <c r="J527" i="3"/>
  <c r="J526" i="3"/>
  <c r="J525" i="3"/>
  <c r="B598" i="3"/>
  <c r="C598" i="3" s="1"/>
  <c r="B597" i="3"/>
  <c r="B596" i="3"/>
  <c r="B595" i="3"/>
  <c r="B594" i="3"/>
  <c r="F649" i="3"/>
  <c r="G649" i="3" s="1"/>
  <c r="F648" i="3"/>
  <c r="F647" i="3"/>
  <c r="F646" i="3"/>
  <c r="F645" i="3"/>
  <c r="L709" i="3"/>
  <c r="M709" i="3" s="1"/>
  <c r="L708" i="3"/>
  <c r="L707" i="3"/>
  <c r="L706" i="3"/>
  <c r="L705" i="3"/>
  <c r="L698" i="4"/>
  <c r="M698" i="4" s="1"/>
  <c r="L697" i="4"/>
  <c r="L696" i="4"/>
  <c r="L695" i="4"/>
  <c r="L694" i="4"/>
  <c r="F639" i="4"/>
  <c r="G639" i="4" s="1"/>
  <c r="F638" i="4"/>
  <c r="F637" i="4"/>
  <c r="F636" i="4"/>
  <c r="F635" i="4"/>
  <c r="B589" i="4"/>
  <c r="C589" i="4" s="1"/>
  <c r="B588" i="4"/>
  <c r="B587" i="4"/>
  <c r="B586" i="4"/>
  <c r="B585" i="4"/>
  <c r="J521" i="4"/>
  <c r="K521" i="4" s="1"/>
  <c r="J520" i="4"/>
  <c r="J519" i="4"/>
  <c r="J518" i="4"/>
  <c r="J517" i="4"/>
  <c r="F462" i="4"/>
  <c r="G462" i="4" s="1"/>
  <c r="F461" i="4"/>
  <c r="F460" i="4"/>
  <c r="F459" i="4"/>
  <c r="F458" i="4"/>
  <c r="N426" i="4"/>
  <c r="O426" i="4" s="1"/>
  <c r="L426" i="4"/>
  <c r="M426" i="4" s="1"/>
  <c r="J426" i="4"/>
  <c r="K426" i="4" s="1"/>
  <c r="H426" i="4"/>
  <c r="I426" i="4" s="1"/>
  <c r="F426" i="4"/>
  <c r="G426" i="4" s="1"/>
  <c r="D426" i="4"/>
  <c r="E426" i="4" s="1"/>
  <c r="B426" i="4"/>
  <c r="C426" i="4" s="1"/>
  <c r="N425" i="4"/>
  <c r="L425" i="4"/>
  <c r="J425" i="4"/>
  <c r="H425" i="4"/>
  <c r="F425" i="4"/>
  <c r="D425" i="4"/>
  <c r="B425" i="4"/>
  <c r="N424" i="4"/>
  <c r="L424" i="4"/>
  <c r="J424" i="4"/>
  <c r="H424" i="4"/>
  <c r="F424" i="4"/>
  <c r="D424" i="4"/>
  <c r="B424" i="4"/>
  <c r="N423" i="4"/>
  <c r="L423" i="4"/>
  <c r="J423" i="4"/>
  <c r="H423" i="4"/>
  <c r="F423" i="4"/>
  <c r="D423" i="4"/>
  <c r="B423" i="4"/>
  <c r="N422" i="4"/>
  <c r="L422" i="4"/>
  <c r="J422" i="4"/>
  <c r="H422" i="4"/>
  <c r="F422" i="4"/>
  <c r="D422" i="4"/>
  <c r="B422" i="4"/>
  <c r="N403" i="4"/>
  <c r="O403" i="4" s="1"/>
  <c r="N402" i="4"/>
  <c r="N401" i="4"/>
  <c r="N400" i="4"/>
  <c r="N399" i="4"/>
  <c r="H344" i="4"/>
  <c r="I344" i="4" s="1"/>
  <c r="H343" i="4"/>
  <c r="H342" i="4"/>
  <c r="H341" i="4"/>
  <c r="H340" i="4"/>
  <c r="D294" i="4"/>
  <c r="E294" i="4" s="1"/>
  <c r="B294" i="4"/>
  <c r="C294" i="4" s="1"/>
  <c r="D293" i="4"/>
  <c r="B293" i="4"/>
  <c r="D292" i="4"/>
  <c r="B292" i="4"/>
  <c r="D291" i="4"/>
  <c r="B291" i="4"/>
  <c r="D290" i="4"/>
  <c r="B290" i="4"/>
  <c r="L226" i="4"/>
  <c r="M226" i="4" s="1"/>
  <c r="L225" i="4"/>
  <c r="L224" i="4"/>
  <c r="L223" i="4"/>
  <c r="L222" i="4"/>
  <c r="H167" i="4"/>
  <c r="I167" i="4" s="1"/>
  <c r="H166" i="4"/>
  <c r="H165" i="4"/>
  <c r="H164" i="4"/>
  <c r="H163" i="4"/>
  <c r="B108" i="4"/>
  <c r="C108" i="4" s="1"/>
  <c r="B107" i="4"/>
  <c r="B106" i="4"/>
  <c r="B105" i="4"/>
  <c r="B104" i="4"/>
  <c r="B58" i="4"/>
  <c r="C58" i="4" s="1"/>
  <c r="B57" i="4"/>
  <c r="B56" i="4"/>
  <c r="B55" i="4"/>
  <c r="B54" i="4"/>
  <c r="O1" i="3"/>
  <c r="L1" i="3"/>
  <c r="O1" i="4"/>
  <c r="L1" i="4"/>
  <c r="B1" i="3"/>
  <c r="B1" i="4"/>
  <c r="C26" i="5"/>
  <c r="B27" i="1" s="1"/>
  <c r="C22" i="5"/>
  <c r="B18" i="1" s="1"/>
  <c r="C21" i="5"/>
  <c r="B17" i="1" s="1"/>
  <c r="C2" i="2"/>
  <c r="C4" i="2" l="1"/>
  <c r="C3" i="2"/>
  <c r="C1" i="2"/>
  <c r="V14" i="5" l="1"/>
  <c r="U14" i="5"/>
  <c r="T14" i="5"/>
  <c r="V16" i="5" l="1"/>
  <c r="U16" i="5"/>
  <c r="T16" i="5"/>
  <c r="V18" i="5" l="1"/>
  <c r="T18" i="5"/>
  <c r="V17" i="5" l="1"/>
  <c r="U17" i="5"/>
  <c r="T17" i="5"/>
  <c r="P11" i="5" l="1"/>
  <c r="O11" i="5"/>
  <c r="U11" i="5" l="1"/>
  <c r="T11" i="5"/>
  <c r="U13" i="5" l="1"/>
  <c r="T13" i="5"/>
  <c r="P13" i="5"/>
  <c r="E16" i="2" s="1"/>
  <c r="O13" i="5"/>
  <c r="E15" i="2" s="1"/>
  <c r="U12" i="5" l="1"/>
  <c r="T12" i="5"/>
  <c r="R12" i="5"/>
  <c r="P12" i="5"/>
  <c r="O12" i="5"/>
  <c r="V15" i="5" l="1"/>
  <c r="U15" i="5"/>
  <c r="T15" i="5"/>
  <c r="L131" i="4" l="1"/>
  <c r="N49" i="4"/>
  <c r="N48" i="4"/>
  <c r="N47" i="4"/>
  <c r="N45" i="4"/>
  <c r="L49" i="4"/>
  <c r="L48" i="4"/>
  <c r="L47" i="4"/>
  <c r="L45" i="4"/>
  <c r="J697" i="4"/>
  <c r="J688" i="4"/>
  <c r="J679" i="4"/>
  <c r="J670" i="4"/>
  <c r="J661" i="4"/>
  <c r="J629" i="4"/>
  <c r="J620" i="4"/>
  <c r="J611" i="4"/>
  <c r="J602" i="4"/>
  <c r="J579" i="4"/>
  <c r="J570" i="4"/>
  <c r="J561" i="4"/>
  <c r="J552" i="4"/>
  <c r="J511" i="4"/>
  <c r="J502" i="4"/>
  <c r="J493" i="4"/>
  <c r="J484" i="4"/>
  <c r="J452" i="4"/>
  <c r="J443" i="4"/>
  <c r="J434" i="4"/>
  <c r="J402" i="4"/>
  <c r="J393" i="4"/>
  <c r="J384" i="4"/>
  <c r="J375" i="4"/>
  <c r="J366" i="4"/>
  <c r="J334" i="4"/>
  <c r="J325" i="4"/>
  <c r="J316" i="4"/>
  <c r="J307" i="4"/>
  <c r="J284" i="4"/>
  <c r="J275" i="4"/>
  <c r="J266" i="4"/>
  <c r="J257" i="4"/>
  <c r="J225" i="4"/>
  <c r="J216" i="4"/>
  <c r="J207" i="4"/>
  <c r="J198" i="4"/>
  <c r="J189" i="4"/>
  <c r="J157" i="4"/>
  <c r="J148" i="4"/>
  <c r="J139" i="4"/>
  <c r="J130" i="4"/>
  <c r="J98" i="4"/>
  <c r="J89" i="4"/>
  <c r="J80" i="4"/>
  <c r="J71" i="4"/>
  <c r="J48" i="4"/>
  <c r="J39" i="4"/>
  <c r="J30" i="4"/>
  <c r="J21" i="4"/>
  <c r="H697" i="4"/>
  <c r="H688" i="4"/>
  <c r="H679" i="4"/>
  <c r="H670" i="4"/>
  <c r="H661" i="4"/>
  <c r="H629" i="4"/>
  <c r="H620" i="4"/>
  <c r="H611" i="4"/>
  <c r="H602" i="4"/>
  <c r="H579" i="4"/>
  <c r="H570" i="4"/>
  <c r="H561" i="4"/>
  <c r="H552" i="4"/>
  <c r="H520" i="4"/>
  <c r="H511" i="4"/>
  <c r="H502" i="4"/>
  <c r="H493" i="4"/>
  <c r="H484" i="4"/>
  <c r="H452" i="4"/>
  <c r="H443" i="4"/>
  <c r="H434" i="4"/>
  <c r="H402" i="4"/>
  <c r="H393" i="4"/>
  <c r="H384" i="4"/>
  <c r="H375" i="4"/>
  <c r="H334" i="4"/>
  <c r="H325" i="4"/>
  <c r="H316" i="4"/>
  <c r="H307" i="4"/>
  <c r="H284" i="4"/>
  <c r="H275" i="4"/>
  <c r="H266" i="4"/>
  <c r="H257" i="4"/>
  <c r="H225" i="4"/>
  <c r="H216" i="4"/>
  <c r="H207" i="4"/>
  <c r="H198" i="4"/>
  <c r="H157" i="4"/>
  <c r="H148" i="4"/>
  <c r="H139" i="4"/>
  <c r="H130" i="4"/>
  <c r="H98" i="4"/>
  <c r="H89" i="4"/>
  <c r="H80" i="4"/>
  <c r="H71" i="4"/>
  <c r="H48" i="4"/>
  <c r="H39" i="4"/>
  <c r="H30" i="4"/>
  <c r="H21" i="4"/>
  <c r="F697" i="4"/>
  <c r="F688" i="4"/>
  <c r="F679" i="4"/>
  <c r="F670" i="4"/>
  <c r="F629" i="4"/>
  <c r="F620" i="4"/>
  <c r="F611" i="4"/>
  <c r="F602" i="4"/>
  <c r="F579" i="4"/>
  <c r="F570" i="4"/>
  <c r="F561" i="4"/>
  <c r="F552" i="4"/>
  <c r="F520" i="4"/>
  <c r="F511" i="4"/>
  <c r="F502" i="4"/>
  <c r="F493" i="4"/>
  <c r="F452" i="4"/>
  <c r="F443" i="4"/>
  <c r="F434" i="4"/>
  <c r="F402" i="4"/>
  <c r="F393" i="4"/>
  <c r="F384" i="4"/>
  <c r="F375" i="4"/>
  <c r="F343" i="4"/>
  <c r="F334" i="4"/>
  <c r="F325" i="4"/>
  <c r="F316" i="4"/>
  <c r="F307" i="4"/>
  <c r="F284" i="4"/>
  <c r="F275" i="4"/>
  <c r="F266" i="4"/>
  <c r="F257" i="4"/>
  <c r="F225" i="4"/>
  <c r="F216" i="4"/>
  <c r="F207" i="4"/>
  <c r="F198" i="4"/>
  <c r="F166" i="4"/>
  <c r="F157" i="4"/>
  <c r="F148" i="4"/>
  <c r="F139" i="4"/>
  <c r="F130" i="4"/>
  <c r="F98" i="4"/>
  <c r="F89" i="4"/>
  <c r="F80" i="4"/>
  <c r="F71" i="4"/>
  <c r="F48" i="4"/>
  <c r="F39" i="4"/>
  <c r="F30" i="4"/>
  <c r="F21" i="4"/>
  <c r="D697" i="4"/>
  <c r="D688" i="4"/>
  <c r="D679" i="4"/>
  <c r="D670" i="4"/>
  <c r="D638" i="4"/>
  <c r="D629" i="4"/>
  <c r="D620" i="4"/>
  <c r="D611" i="4"/>
  <c r="D602" i="4"/>
  <c r="D579" i="4"/>
  <c r="D570" i="4"/>
  <c r="D561" i="4"/>
  <c r="D552" i="4"/>
  <c r="D520" i="4"/>
  <c r="D511" i="4"/>
  <c r="D502" i="4"/>
  <c r="D493" i="4"/>
  <c r="D461" i="4"/>
  <c r="D452" i="4"/>
  <c r="D443" i="4"/>
  <c r="D434" i="4"/>
  <c r="D402" i="4"/>
  <c r="D393" i="4"/>
  <c r="D384" i="4"/>
  <c r="D375" i="4"/>
  <c r="D343" i="4"/>
  <c r="D334" i="4"/>
  <c r="D325" i="4"/>
  <c r="D316" i="4"/>
  <c r="D284" i="4"/>
  <c r="D275" i="4"/>
  <c r="D266" i="4"/>
  <c r="D257" i="4"/>
  <c r="D225" i="4"/>
  <c r="D216" i="4"/>
  <c r="D207" i="4"/>
  <c r="D198" i="4"/>
  <c r="D166" i="4"/>
  <c r="D157" i="4"/>
  <c r="D148" i="4"/>
  <c r="D139" i="4"/>
  <c r="D130" i="4"/>
  <c r="D98" i="4"/>
  <c r="D89" i="4"/>
  <c r="D80" i="4"/>
  <c r="D71" i="4"/>
  <c r="D48" i="4"/>
  <c r="D39" i="4"/>
  <c r="D30" i="4"/>
  <c r="D21" i="4"/>
  <c r="L688" i="4"/>
  <c r="L679" i="4"/>
  <c r="L670" i="4"/>
  <c r="L661" i="4"/>
  <c r="L629" i="4"/>
  <c r="L620" i="4"/>
  <c r="L611" i="4"/>
  <c r="L602" i="4"/>
  <c r="L579" i="4"/>
  <c r="L570" i="4"/>
  <c r="L561" i="4"/>
  <c r="L552" i="4"/>
  <c r="L543" i="4"/>
  <c r="L511" i="4"/>
  <c r="L502" i="4"/>
  <c r="L493" i="4"/>
  <c r="L484" i="4"/>
  <c r="L452" i="4"/>
  <c r="L443" i="4"/>
  <c r="L434" i="4"/>
  <c r="L402" i="4"/>
  <c r="L393" i="4"/>
  <c r="L384" i="4"/>
  <c r="L375" i="4"/>
  <c r="L366" i="4"/>
  <c r="L334" i="4"/>
  <c r="L325" i="4"/>
  <c r="L316" i="4"/>
  <c r="L307" i="4"/>
  <c r="L284" i="4"/>
  <c r="L275" i="4"/>
  <c r="L266" i="4"/>
  <c r="L257" i="4"/>
  <c r="L216" i="4"/>
  <c r="L207" i="4"/>
  <c r="L198" i="4"/>
  <c r="L189" i="4"/>
  <c r="L157" i="4"/>
  <c r="L148" i="4"/>
  <c r="L139" i="4"/>
  <c r="L130" i="4"/>
  <c r="L98" i="4"/>
  <c r="L89" i="4"/>
  <c r="L80" i="4"/>
  <c r="L71" i="4"/>
  <c r="L39" i="4"/>
  <c r="L30" i="4"/>
  <c r="L21" i="4"/>
  <c r="L12" i="4"/>
  <c r="N688" i="4"/>
  <c r="N679" i="4"/>
  <c r="N670" i="4"/>
  <c r="N661" i="4"/>
  <c r="N629" i="4"/>
  <c r="N620" i="4"/>
  <c r="N611" i="4"/>
  <c r="N602" i="4"/>
  <c r="N579" i="4"/>
  <c r="N570" i="4"/>
  <c r="N561" i="4"/>
  <c r="N552" i="4"/>
  <c r="N543" i="4"/>
  <c r="N511" i="4"/>
  <c r="N502" i="4"/>
  <c r="N493" i="4"/>
  <c r="N484" i="4"/>
  <c r="N452" i="4"/>
  <c r="N443" i="4"/>
  <c r="N434" i="4"/>
  <c r="N393" i="4"/>
  <c r="N384" i="4"/>
  <c r="N375" i="4"/>
  <c r="N366" i="4"/>
  <c r="N334" i="4"/>
  <c r="N325" i="4"/>
  <c r="N316" i="4"/>
  <c r="N307" i="4"/>
  <c r="N284" i="4"/>
  <c r="N275" i="4"/>
  <c r="N266" i="4"/>
  <c r="N257" i="4"/>
  <c r="N248" i="4"/>
  <c r="N216" i="4"/>
  <c r="N207" i="4"/>
  <c r="N198" i="4"/>
  <c r="N189" i="4"/>
  <c r="N157" i="4"/>
  <c r="N148" i="4"/>
  <c r="N139" i="4"/>
  <c r="N130" i="4"/>
  <c r="N98" i="4"/>
  <c r="N89" i="4"/>
  <c r="N80" i="4"/>
  <c r="N71" i="4"/>
  <c r="N39" i="4"/>
  <c r="N30" i="4"/>
  <c r="N21" i="4"/>
  <c r="N12" i="4"/>
  <c r="N699" i="3"/>
  <c r="N690" i="3"/>
  <c r="N681" i="3"/>
  <c r="N672" i="3"/>
  <c r="N639" i="3"/>
  <c r="N630" i="3"/>
  <c r="N621" i="3"/>
  <c r="N612" i="3"/>
  <c r="N588" i="3"/>
  <c r="N579" i="3"/>
  <c r="N570" i="3"/>
  <c r="N561" i="3"/>
  <c r="N552" i="3"/>
  <c r="N519" i="3"/>
  <c r="N510" i="3"/>
  <c r="N501" i="3"/>
  <c r="N492" i="3"/>
  <c r="N459" i="3"/>
  <c r="N450" i="3"/>
  <c r="N441" i="3"/>
  <c r="N399" i="3"/>
  <c r="N390" i="3"/>
  <c r="N381" i="3"/>
  <c r="N372" i="3"/>
  <c r="N339" i="3"/>
  <c r="N330" i="3"/>
  <c r="N321" i="3"/>
  <c r="N312" i="3"/>
  <c r="N288" i="3"/>
  <c r="N279" i="3"/>
  <c r="N270" i="3"/>
  <c r="N261" i="3"/>
  <c r="N252" i="3"/>
  <c r="N219" i="3"/>
  <c r="N210" i="3"/>
  <c r="N201" i="3"/>
  <c r="N192" i="3"/>
  <c r="N159" i="3"/>
  <c r="N150" i="3"/>
  <c r="N141" i="3"/>
  <c r="N132" i="3"/>
  <c r="N99" i="3"/>
  <c r="N90" i="3"/>
  <c r="N81" i="3"/>
  <c r="N72" i="3"/>
  <c r="N48" i="3"/>
  <c r="N39" i="3"/>
  <c r="N30" i="3"/>
  <c r="N21" i="3"/>
  <c r="N12" i="3"/>
  <c r="L699" i="3"/>
  <c r="L690" i="3"/>
  <c r="L681" i="3"/>
  <c r="L672" i="3"/>
  <c r="L639" i="3"/>
  <c r="L630" i="3"/>
  <c r="L621" i="3"/>
  <c r="L612" i="3"/>
  <c r="L588" i="3"/>
  <c r="L579" i="3"/>
  <c r="L570" i="3"/>
  <c r="L561" i="3"/>
  <c r="L552" i="3"/>
  <c r="L519" i="3"/>
  <c r="L510" i="3"/>
  <c r="L501" i="3"/>
  <c r="L492" i="3"/>
  <c r="L459" i="3"/>
  <c r="L450" i="3"/>
  <c r="L441" i="3"/>
  <c r="L408" i="3"/>
  <c r="L399" i="3"/>
  <c r="L390" i="3"/>
  <c r="L381" i="3"/>
  <c r="L372" i="3"/>
  <c r="L339" i="3"/>
  <c r="L330" i="3"/>
  <c r="L321" i="3"/>
  <c r="L312" i="3"/>
  <c r="L288" i="3"/>
  <c r="L279" i="3"/>
  <c r="L270" i="3"/>
  <c r="L261" i="3"/>
  <c r="L219" i="3"/>
  <c r="L210" i="3"/>
  <c r="L201" i="3"/>
  <c r="L192" i="3"/>
  <c r="L159" i="3"/>
  <c r="L150" i="3"/>
  <c r="L141" i="3"/>
  <c r="L132" i="3"/>
  <c r="L99" i="3"/>
  <c r="L90" i="3"/>
  <c r="L81" i="3"/>
  <c r="L72" i="3"/>
  <c r="L48" i="3"/>
  <c r="L39" i="3"/>
  <c r="L30" i="3"/>
  <c r="L21" i="3"/>
  <c r="L12" i="3"/>
  <c r="J708" i="3"/>
  <c r="J699" i="3"/>
  <c r="J690" i="3"/>
  <c r="J681" i="3"/>
  <c r="J672" i="3"/>
  <c r="J639" i="3"/>
  <c r="J630" i="3"/>
  <c r="J621" i="3"/>
  <c r="J612" i="3"/>
  <c r="J588" i="3"/>
  <c r="J579" i="3"/>
  <c r="J570" i="3"/>
  <c r="J561" i="3"/>
  <c r="J519" i="3"/>
  <c r="J510" i="3"/>
  <c r="J501" i="3"/>
  <c r="J492" i="3"/>
  <c r="J459" i="3"/>
  <c r="J450" i="3"/>
  <c r="J441" i="3"/>
  <c r="J408" i="3"/>
  <c r="J399" i="3"/>
  <c r="J390" i="3"/>
  <c r="J381" i="3"/>
  <c r="J372" i="3"/>
  <c r="J339" i="3"/>
  <c r="J330" i="3"/>
  <c r="J321" i="3"/>
  <c r="J312" i="3"/>
  <c r="J288" i="3"/>
  <c r="J279" i="3"/>
  <c r="J270" i="3"/>
  <c r="J261" i="3"/>
  <c r="J228" i="3"/>
  <c r="J219" i="3"/>
  <c r="J210" i="3"/>
  <c r="J201" i="3"/>
  <c r="J192" i="3"/>
  <c r="J159" i="3"/>
  <c r="J150" i="3"/>
  <c r="J141" i="3"/>
  <c r="J132" i="3"/>
  <c r="J99" i="3"/>
  <c r="J90" i="3"/>
  <c r="J81" i="3"/>
  <c r="J72" i="3"/>
  <c r="J48" i="3"/>
  <c r="J39" i="3"/>
  <c r="J30" i="3"/>
  <c r="J21" i="3"/>
  <c r="J12" i="3"/>
  <c r="H708" i="3"/>
  <c r="H699" i="3"/>
  <c r="H690" i="3"/>
  <c r="H681" i="3"/>
  <c r="H672" i="3"/>
  <c r="H639" i="3"/>
  <c r="H630" i="3"/>
  <c r="H621" i="3"/>
  <c r="H612" i="3"/>
  <c r="H588" i="3"/>
  <c r="H579" i="3"/>
  <c r="H570" i="3"/>
  <c r="H561" i="3"/>
  <c r="H528" i="3"/>
  <c r="H519" i="3"/>
  <c r="H510" i="3"/>
  <c r="H501" i="3"/>
  <c r="H492" i="3"/>
  <c r="H459" i="3"/>
  <c r="H450" i="3"/>
  <c r="H441" i="3"/>
  <c r="H408" i="3"/>
  <c r="H399" i="3"/>
  <c r="H390" i="3"/>
  <c r="H381" i="3"/>
  <c r="H339" i="3"/>
  <c r="H330" i="3"/>
  <c r="H321" i="3"/>
  <c r="H312" i="3"/>
  <c r="H288" i="3"/>
  <c r="H279" i="3"/>
  <c r="H270" i="3"/>
  <c r="H261" i="3"/>
  <c r="H228" i="3"/>
  <c r="H219" i="3"/>
  <c r="H210" i="3"/>
  <c r="H201" i="3"/>
  <c r="H159" i="3"/>
  <c r="H150" i="3"/>
  <c r="H141" i="3"/>
  <c r="H132" i="3"/>
  <c r="H99" i="3"/>
  <c r="H90" i="3"/>
  <c r="H81" i="3"/>
  <c r="H72" i="3"/>
  <c r="H48" i="3"/>
  <c r="H39" i="3"/>
  <c r="H30" i="3"/>
  <c r="H21" i="3"/>
  <c r="F708" i="3"/>
  <c r="F699" i="3"/>
  <c r="F690" i="3"/>
  <c r="F681" i="3"/>
  <c r="F639" i="3"/>
  <c r="F630" i="3"/>
  <c r="F621" i="3"/>
  <c r="F612" i="3"/>
  <c r="F588" i="3"/>
  <c r="F579" i="3"/>
  <c r="F570" i="3"/>
  <c r="F561" i="3"/>
  <c r="F528" i="3"/>
  <c r="F519" i="3"/>
  <c r="F510" i="3"/>
  <c r="F501" i="3"/>
  <c r="F459" i="3"/>
  <c r="F450" i="3"/>
  <c r="F441" i="3"/>
  <c r="F408" i="3"/>
  <c r="F399" i="3"/>
  <c r="F390" i="3"/>
  <c r="F381" i="3"/>
  <c r="F348" i="3"/>
  <c r="F339" i="3"/>
  <c r="F330" i="3"/>
  <c r="F321" i="3"/>
  <c r="F312" i="3"/>
  <c r="F288" i="3"/>
  <c r="F279" i="3"/>
  <c r="F270" i="3"/>
  <c r="F261" i="3"/>
  <c r="F228" i="3"/>
  <c r="F219" i="3"/>
  <c r="F210" i="3"/>
  <c r="F201" i="3"/>
  <c r="F168" i="3"/>
  <c r="F159" i="3"/>
  <c r="F150" i="3"/>
  <c r="F141" i="3"/>
  <c r="F132" i="3"/>
  <c r="F99" i="3"/>
  <c r="F90" i="3"/>
  <c r="F81" i="3"/>
  <c r="F72" i="3"/>
  <c r="F48" i="3"/>
  <c r="F39" i="3"/>
  <c r="F30" i="3"/>
  <c r="F21" i="3"/>
  <c r="D708" i="3"/>
  <c r="D699" i="3"/>
  <c r="D690" i="3"/>
  <c r="D681" i="3"/>
  <c r="D648" i="3"/>
  <c r="D639" i="3"/>
  <c r="D630" i="3"/>
  <c r="D621" i="3"/>
  <c r="D612" i="3"/>
  <c r="D588" i="3"/>
  <c r="D579" i="3"/>
  <c r="D570" i="3"/>
  <c r="D561" i="3"/>
  <c r="D528" i="3"/>
  <c r="D519" i="3"/>
  <c r="D510" i="3"/>
  <c r="D501" i="3"/>
  <c r="D468" i="3"/>
  <c r="D459" i="3"/>
  <c r="D450" i="3"/>
  <c r="D441" i="3"/>
  <c r="D408" i="3"/>
  <c r="D399" i="3"/>
  <c r="D390" i="3"/>
  <c r="D381" i="3"/>
  <c r="D348" i="3"/>
  <c r="D339" i="3"/>
  <c r="D330" i="3"/>
  <c r="D321" i="3"/>
  <c r="D288" i="3"/>
  <c r="D279" i="3"/>
  <c r="D270" i="3"/>
  <c r="D261" i="3"/>
  <c r="D228" i="3"/>
  <c r="D219" i="3"/>
  <c r="D210" i="3"/>
  <c r="D201" i="3"/>
  <c r="D168" i="3"/>
  <c r="D159" i="3"/>
  <c r="D150" i="3"/>
  <c r="D141" i="3"/>
  <c r="D132" i="3"/>
  <c r="D99" i="3"/>
  <c r="D90" i="3"/>
  <c r="D81" i="3"/>
  <c r="D72" i="3"/>
  <c r="D48" i="3"/>
  <c r="D39" i="3"/>
  <c r="D30" i="3"/>
  <c r="D21" i="3"/>
  <c r="H20" i="4"/>
  <c r="B20" i="2" l="1"/>
  <c r="B16" i="2"/>
  <c r="V5" i="5" l="1"/>
  <c r="U5" i="5"/>
  <c r="T5" i="5"/>
  <c r="R13" i="5"/>
  <c r="E17" i="2" s="1"/>
  <c r="R11" i="5"/>
  <c r="E19" i="2"/>
  <c r="V13" i="5"/>
  <c r="V12" i="5"/>
  <c r="V11" i="5"/>
  <c r="B298" i="3" l="1"/>
  <c r="B297" i="3"/>
  <c r="B296" i="3"/>
  <c r="B294" i="3"/>
  <c r="R7" i="2"/>
  <c r="P8" i="2"/>
  <c r="P7" i="2"/>
  <c r="R8" i="2" l="1"/>
  <c r="L603" i="4"/>
  <c r="J603" i="4"/>
  <c r="H603" i="4"/>
  <c r="F603" i="4"/>
  <c r="D603" i="4"/>
  <c r="L601" i="4"/>
  <c r="J601" i="4"/>
  <c r="H601" i="4"/>
  <c r="F601" i="4"/>
  <c r="D601" i="4"/>
  <c r="L599" i="4"/>
  <c r="J599" i="4"/>
  <c r="H599" i="4"/>
  <c r="F599" i="4"/>
  <c r="D599" i="4"/>
  <c r="J698" i="4"/>
  <c r="J696" i="4"/>
  <c r="J694" i="4"/>
  <c r="N580" i="4"/>
  <c r="N578" i="4"/>
  <c r="N576" i="4"/>
  <c r="H521" i="4"/>
  <c r="H519" i="4"/>
  <c r="H517" i="4"/>
  <c r="L403" i="4"/>
  <c r="L401" i="4"/>
  <c r="L399" i="4"/>
  <c r="F344" i="4"/>
  <c r="F342" i="4"/>
  <c r="F340" i="4"/>
  <c r="J709" i="3" l="1"/>
  <c r="J707" i="3"/>
  <c r="J705" i="3"/>
  <c r="L613" i="3"/>
  <c r="J613" i="3"/>
  <c r="H613" i="3"/>
  <c r="F613" i="3"/>
  <c r="D613" i="3"/>
  <c r="L611" i="3"/>
  <c r="J611" i="3"/>
  <c r="H611" i="3"/>
  <c r="F611" i="3"/>
  <c r="D611" i="3"/>
  <c r="L609" i="3"/>
  <c r="J609" i="3"/>
  <c r="H609" i="3"/>
  <c r="F609" i="3"/>
  <c r="D609" i="3"/>
  <c r="N589" i="3"/>
  <c r="N587" i="3"/>
  <c r="N585" i="3"/>
  <c r="H529" i="3"/>
  <c r="H527" i="3"/>
  <c r="H525" i="3"/>
  <c r="L409" i="3"/>
  <c r="L407" i="3"/>
  <c r="L405" i="3"/>
  <c r="F349" i="3"/>
  <c r="F347" i="3"/>
  <c r="F345" i="3"/>
  <c r="J229" i="3"/>
  <c r="J227" i="3"/>
  <c r="J225" i="3"/>
  <c r="L133" i="3"/>
  <c r="J133" i="3"/>
  <c r="H133" i="3"/>
  <c r="F133" i="3"/>
  <c r="D133" i="3"/>
  <c r="L131" i="3"/>
  <c r="J131" i="3"/>
  <c r="H131" i="3"/>
  <c r="F131" i="3"/>
  <c r="D131" i="3"/>
  <c r="L129" i="3"/>
  <c r="J129" i="3"/>
  <c r="H129" i="3"/>
  <c r="F129" i="3"/>
  <c r="D129" i="3"/>
  <c r="J73" i="3"/>
  <c r="H73" i="3"/>
  <c r="F73" i="3"/>
  <c r="D73" i="3"/>
  <c r="J71" i="3"/>
  <c r="H71" i="3"/>
  <c r="F71" i="3"/>
  <c r="D71" i="3"/>
  <c r="J69" i="3"/>
  <c r="H69" i="3"/>
  <c r="F69" i="3"/>
  <c r="D69" i="3"/>
  <c r="N49" i="3"/>
  <c r="L49" i="3"/>
  <c r="N47" i="3"/>
  <c r="L47" i="3"/>
  <c r="N45" i="3"/>
  <c r="L45" i="3"/>
  <c r="N4" i="3"/>
  <c r="H7" i="1"/>
  <c r="L64" i="3" l="1"/>
  <c r="L124" i="3" s="1"/>
  <c r="L184" i="3" s="1"/>
  <c r="L244" i="3" s="1"/>
  <c r="N244" i="3" s="1"/>
  <c r="L243" i="3" s="1"/>
  <c r="J226" i="4"/>
  <c r="J224" i="4"/>
  <c r="J222" i="4"/>
  <c r="O175" i="4"/>
  <c r="M175" i="4"/>
  <c r="K175" i="4"/>
  <c r="I175" i="4"/>
  <c r="O174" i="4"/>
  <c r="M174" i="4"/>
  <c r="K174" i="4"/>
  <c r="I174" i="4"/>
  <c r="O172" i="4"/>
  <c r="M172" i="4"/>
  <c r="K172" i="4"/>
  <c r="I172" i="4"/>
  <c r="L129" i="4"/>
  <c r="L127" i="4"/>
  <c r="J131" i="4"/>
  <c r="H131" i="4"/>
  <c r="F131" i="4"/>
  <c r="D131" i="4"/>
  <c r="J129" i="4"/>
  <c r="H129" i="4"/>
  <c r="F129" i="4"/>
  <c r="D129" i="4"/>
  <c r="J127" i="4"/>
  <c r="H127" i="4"/>
  <c r="F127" i="4"/>
  <c r="D127" i="4"/>
  <c r="J72" i="4"/>
  <c r="H72" i="4"/>
  <c r="F72" i="4"/>
  <c r="D72" i="4"/>
  <c r="J70" i="4"/>
  <c r="H70" i="4"/>
  <c r="F70" i="4"/>
  <c r="D70" i="4"/>
  <c r="J68" i="4"/>
  <c r="H68" i="4"/>
  <c r="F68" i="4"/>
  <c r="D68" i="4"/>
  <c r="N64" i="3" l="1"/>
  <c r="L63" i="3" s="1"/>
  <c r="N184" i="3"/>
  <c r="L183" i="3" s="1"/>
  <c r="L304" i="3"/>
  <c r="L364" i="3" s="1"/>
  <c r="N124" i="3"/>
  <c r="L123" i="3" s="1"/>
  <c r="N304" i="3" l="1"/>
  <c r="L303" i="3" s="1"/>
  <c r="L424" i="3"/>
  <c r="N364" i="3"/>
  <c r="L363" i="3" s="1"/>
  <c r="B7" i="2"/>
  <c r="J7" i="2"/>
  <c r="B8" i="2"/>
  <c r="J8" i="2"/>
  <c r="S8" i="2"/>
  <c r="B9" i="2"/>
  <c r="U8" i="2" s="1"/>
  <c r="J9" i="2"/>
  <c r="S9" i="2"/>
  <c r="T9" i="2"/>
  <c r="U9" i="2"/>
  <c r="V9" i="2"/>
  <c r="J10" i="2"/>
  <c r="S10" i="2"/>
  <c r="T10" i="2"/>
  <c r="U10" i="2"/>
  <c r="V10" i="2"/>
  <c r="J11" i="2"/>
  <c r="P9" i="2" a="1"/>
  <c r="R10" i="2" a="1"/>
  <c r="P11" i="2" a="1"/>
  <c r="R9" i="2" a="1"/>
  <c r="P10" i="2" a="1"/>
  <c r="N46" i="4" l="1"/>
  <c r="J19" i="4"/>
  <c r="L46" i="4"/>
  <c r="B25" i="1"/>
  <c r="D19" i="2"/>
  <c r="D18" i="2"/>
  <c r="B295" i="3"/>
  <c r="J600" i="4"/>
  <c r="H518" i="4"/>
  <c r="L400" i="4"/>
  <c r="D600" i="4"/>
  <c r="F341" i="4"/>
  <c r="H600" i="4"/>
  <c r="J695" i="4"/>
  <c r="L600" i="4"/>
  <c r="N577" i="4"/>
  <c r="F600" i="4"/>
  <c r="J610" i="3"/>
  <c r="J130" i="3"/>
  <c r="F70" i="3"/>
  <c r="J706" i="3"/>
  <c r="H526" i="3"/>
  <c r="L130" i="3"/>
  <c r="L46" i="3"/>
  <c r="H610" i="3"/>
  <c r="L406" i="3"/>
  <c r="H130" i="3"/>
  <c r="D70" i="3"/>
  <c r="D610" i="3"/>
  <c r="H70" i="3"/>
  <c r="F610" i="3"/>
  <c r="N586" i="3"/>
  <c r="F346" i="3"/>
  <c r="F130" i="3"/>
  <c r="J70" i="3"/>
  <c r="N46" i="3"/>
  <c r="L610" i="3"/>
  <c r="J226" i="3"/>
  <c r="D130" i="3"/>
  <c r="J223" i="4"/>
  <c r="K173" i="4"/>
  <c r="L128" i="4"/>
  <c r="D128" i="4"/>
  <c r="F69" i="4"/>
  <c r="D69" i="4"/>
  <c r="I173" i="4"/>
  <c r="J128" i="4"/>
  <c r="F128" i="4"/>
  <c r="O173" i="4"/>
  <c r="H128" i="4"/>
  <c r="J69" i="4"/>
  <c r="M173" i="4"/>
  <c r="H69" i="4"/>
  <c r="T8" i="2"/>
  <c r="E18" i="2"/>
  <c r="G24" i="1" s="1"/>
  <c r="L484" i="3"/>
  <c r="N424" i="3"/>
  <c r="L423" i="3" s="1"/>
  <c r="B24" i="1"/>
  <c r="W9" i="2"/>
  <c r="R9" i="2"/>
  <c r="R10" i="2"/>
  <c r="P10" i="2"/>
  <c r="P9" i="2"/>
  <c r="W10" i="2"/>
  <c r="P11" i="2"/>
  <c r="S11" i="2"/>
  <c r="T11" i="2"/>
  <c r="U11" i="2"/>
  <c r="V11" i="2"/>
  <c r="W11" i="2"/>
  <c r="S12" i="2"/>
  <c r="T12" i="2"/>
  <c r="U12" i="2"/>
  <c r="V12" i="2"/>
  <c r="W12" i="2"/>
  <c r="S13" i="2"/>
  <c r="T13" i="2"/>
  <c r="U13" i="2"/>
  <c r="V13" i="2"/>
  <c r="W13" i="2"/>
  <c r="S14" i="2"/>
  <c r="T14" i="2"/>
  <c r="U14" i="2"/>
  <c r="V14" i="2"/>
  <c r="W14" i="2"/>
  <c r="S15" i="2"/>
  <c r="T15" i="2"/>
  <c r="U15" i="2"/>
  <c r="V15" i="2"/>
  <c r="W15" i="2"/>
  <c r="B18" i="2"/>
  <c r="B19" i="2"/>
  <c r="B24" i="2"/>
  <c r="B25" i="2"/>
  <c r="B26" i="2"/>
  <c r="B27" i="2"/>
  <c r="B28" i="2"/>
  <c r="B31" i="2"/>
  <c r="B32" i="2"/>
  <c r="B33" i="2"/>
  <c r="B34" i="2"/>
  <c r="B35" i="2"/>
  <c r="B39" i="2"/>
  <c r="B40" i="2"/>
  <c r="B41" i="2"/>
  <c r="B42" i="2"/>
  <c r="B43" i="2"/>
  <c r="B46" i="2"/>
  <c r="B47" i="2"/>
  <c r="B48" i="2"/>
  <c r="B49" i="2"/>
  <c r="B50" i="2"/>
  <c r="H81" i="4"/>
  <c r="H26" i="1"/>
  <c r="P13" i="2" a="1"/>
  <c r="R12" i="2" a="1"/>
  <c r="R15" i="2" a="1"/>
  <c r="P14" i="2" a="1"/>
  <c r="P15" i="2" a="1"/>
  <c r="R11" i="2" a="1"/>
  <c r="P12" i="2" a="1"/>
  <c r="R14" i="2" a="1"/>
  <c r="R13" i="2" a="1"/>
  <c r="B23" i="1" l="1"/>
  <c r="M176" i="4"/>
  <c r="O176" i="4"/>
  <c r="I176" i="4"/>
  <c r="K176" i="4"/>
  <c r="L544" i="3"/>
  <c r="N484" i="3"/>
  <c r="L483" i="3" s="1"/>
  <c r="G25" i="1"/>
  <c r="R15" i="2"/>
  <c r="P13" i="2"/>
  <c r="R11" i="2"/>
  <c r="R14" i="2"/>
  <c r="P12" i="2"/>
  <c r="P15" i="2"/>
  <c r="R13" i="2"/>
  <c r="P14" i="2"/>
  <c r="R12" i="2"/>
  <c r="L10" i="4"/>
  <c r="N9" i="4"/>
  <c r="J667" i="4"/>
  <c r="J668" i="4"/>
  <c r="J669" i="4"/>
  <c r="J671" i="4"/>
  <c r="J662" i="4"/>
  <c r="N630" i="4"/>
  <c r="L630" i="4"/>
  <c r="J630" i="4"/>
  <c r="H630" i="4"/>
  <c r="F630" i="4"/>
  <c r="D630" i="4"/>
  <c r="B630" i="4"/>
  <c r="B629" i="4"/>
  <c r="N603" i="4"/>
  <c r="H308" i="4"/>
  <c r="J140" i="4"/>
  <c r="L72" i="4"/>
  <c r="H82" i="3"/>
  <c r="H63" i="4"/>
  <c r="F63" i="4"/>
  <c r="H653" i="4"/>
  <c r="F653" i="4"/>
  <c r="H663" i="3"/>
  <c r="F663" i="3"/>
  <c r="H594" i="4"/>
  <c r="F594" i="4"/>
  <c r="H603" i="3"/>
  <c r="F603" i="3"/>
  <c r="H535" i="4"/>
  <c r="F535" i="4"/>
  <c r="H543" i="3"/>
  <c r="F543" i="3"/>
  <c r="H476" i="4"/>
  <c r="F476" i="4"/>
  <c r="H483" i="3"/>
  <c r="F483" i="3"/>
  <c r="H417" i="4"/>
  <c r="F417" i="4"/>
  <c r="H423" i="3"/>
  <c r="F423" i="3"/>
  <c r="H358" i="4"/>
  <c r="F358" i="4"/>
  <c r="H363" i="3"/>
  <c r="F363" i="3"/>
  <c r="H299" i="4"/>
  <c r="F299" i="4"/>
  <c r="H303" i="3"/>
  <c r="F303" i="3"/>
  <c r="H240" i="4"/>
  <c r="F240" i="4"/>
  <c r="H243" i="3"/>
  <c r="F243" i="3"/>
  <c r="H181" i="4"/>
  <c r="F181" i="4"/>
  <c r="H183" i="3"/>
  <c r="F183" i="3"/>
  <c r="H122" i="4"/>
  <c r="F122" i="4"/>
  <c r="H123" i="3"/>
  <c r="F123" i="3"/>
  <c r="H63" i="3"/>
  <c r="F63" i="3"/>
  <c r="H4" i="4"/>
  <c r="F4" i="4"/>
  <c r="H4" i="3"/>
  <c r="F4" i="3"/>
  <c r="H709" i="3"/>
  <c r="F709" i="3"/>
  <c r="D709" i="3"/>
  <c r="B709" i="3"/>
  <c r="B708" i="3"/>
  <c r="D707" i="3"/>
  <c r="F707" i="3"/>
  <c r="H707" i="3"/>
  <c r="N700" i="3"/>
  <c r="L700" i="3"/>
  <c r="J700" i="3"/>
  <c r="H700" i="3"/>
  <c r="F700" i="3"/>
  <c r="D700" i="3"/>
  <c r="B700" i="3"/>
  <c r="B699" i="3"/>
  <c r="N691" i="3"/>
  <c r="L691" i="3"/>
  <c r="J691" i="3"/>
  <c r="H691" i="3"/>
  <c r="F691" i="3"/>
  <c r="D691" i="3"/>
  <c r="B691" i="3"/>
  <c r="B690" i="3"/>
  <c r="N682" i="3"/>
  <c r="L682" i="3"/>
  <c r="J682" i="3"/>
  <c r="H682" i="3"/>
  <c r="F682" i="3"/>
  <c r="D682" i="3"/>
  <c r="B682" i="3"/>
  <c r="B681" i="3"/>
  <c r="N673" i="3"/>
  <c r="L673" i="3"/>
  <c r="J673" i="3"/>
  <c r="H673" i="3"/>
  <c r="D649" i="3"/>
  <c r="B649" i="3"/>
  <c r="B648" i="3"/>
  <c r="N640" i="3"/>
  <c r="L640" i="3"/>
  <c r="J640" i="3"/>
  <c r="H640" i="3"/>
  <c r="F640" i="3"/>
  <c r="D640" i="3"/>
  <c r="B640" i="3"/>
  <c r="B639" i="3"/>
  <c r="N631" i="3"/>
  <c r="L631" i="3"/>
  <c r="J631" i="3"/>
  <c r="H631" i="3"/>
  <c r="F631" i="3"/>
  <c r="D631" i="3"/>
  <c r="B631" i="3"/>
  <c r="B630" i="3"/>
  <c r="N622" i="3"/>
  <c r="L622" i="3"/>
  <c r="J622" i="3"/>
  <c r="H622" i="3"/>
  <c r="F622" i="3"/>
  <c r="D622" i="3"/>
  <c r="B622" i="3"/>
  <c r="B621" i="3"/>
  <c r="N613" i="3"/>
  <c r="L589" i="3"/>
  <c r="J589" i="3"/>
  <c r="H589" i="3"/>
  <c r="F589" i="3"/>
  <c r="D589" i="3"/>
  <c r="B589" i="3"/>
  <c r="B588" i="3"/>
  <c r="N580" i="3"/>
  <c r="L580" i="3"/>
  <c r="J580" i="3"/>
  <c r="H580" i="3"/>
  <c r="F580" i="3"/>
  <c r="D580" i="3"/>
  <c r="B580" i="3"/>
  <c r="B579" i="3"/>
  <c r="N571" i="3"/>
  <c r="L571" i="3"/>
  <c r="J571" i="3"/>
  <c r="H571" i="3"/>
  <c r="F571" i="3"/>
  <c r="D571" i="3"/>
  <c r="B571" i="3"/>
  <c r="B570" i="3"/>
  <c r="N562" i="3"/>
  <c r="L562" i="3"/>
  <c r="J562" i="3"/>
  <c r="H562" i="3"/>
  <c r="F562" i="3"/>
  <c r="D562" i="3"/>
  <c r="B562" i="3"/>
  <c r="B561" i="3"/>
  <c r="N553" i="3"/>
  <c r="L553" i="3"/>
  <c r="F529" i="3"/>
  <c r="D529" i="3"/>
  <c r="B529" i="3"/>
  <c r="B528" i="3"/>
  <c r="N520" i="3"/>
  <c r="L520" i="3"/>
  <c r="J520" i="3"/>
  <c r="H520" i="3"/>
  <c r="F520" i="3"/>
  <c r="D520" i="3"/>
  <c r="B520" i="3"/>
  <c r="B519" i="3"/>
  <c r="N511" i="3"/>
  <c r="L511" i="3"/>
  <c r="J511" i="3"/>
  <c r="H511" i="3"/>
  <c r="F511" i="3"/>
  <c r="D511" i="3"/>
  <c r="B511" i="3"/>
  <c r="B510" i="3"/>
  <c r="N502" i="3"/>
  <c r="L502" i="3"/>
  <c r="J502" i="3"/>
  <c r="H502" i="3"/>
  <c r="F502" i="3"/>
  <c r="D502" i="3"/>
  <c r="B502" i="3"/>
  <c r="B501" i="3"/>
  <c r="N493" i="3"/>
  <c r="L493" i="3"/>
  <c r="J493" i="3"/>
  <c r="H493" i="3"/>
  <c r="D469" i="3"/>
  <c r="B469" i="3"/>
  <c r="B468" i="3"/>
  <c r="N460" i="3"/>
  <c r="L460" i="3"/>
  <c r="J460" i="3"/>
  <c r="H460" i="3"/>
  <c r="F460" i="3"/>
  <c r="D460" i="3"/>
  <c r="B460" i="3"/>
  <c r="B459" i="3"/>
  <c r="N451" i="3"/>
  <c r="L451" i="3"/>
  <c r="J451" i="3"/>
  <c r="H451" i="3"/>
  <c r="F451" i="3"/>
  <c r="D451" i="3"/>
  <c r="B451" i="3"/>
  <c r="B450" i="3"/>
  <c r="N442" i="3"/>
  <c r="L442" i="3"/>
  <c r="J442" i="3"/>
  <c r="H442" i="3"/>
  <c r="F442" i="3"/>
  <c r="D442" i="3"/>
  <c r="B442" i="3"/>
  <c r="B441" i="3"/>
  <c r="J409" i="3"/>
  <c r="H409" i="3"/>
  <c r="F409" i="3"/>
  <c r="D409" i="3"/>
  <c r="B409" i="3"/>
  <c r="B408" i="3"/>
  <c r="N400" i="3"/>
  <c r="L400" i="3"/>
  <c r="J400" i="3"/>
  <c r="H400" i="3"/>
  <c r="F400" i="3"/>
  <c r="D400" i="3"/>
  <c r="B400" i="3"/>
  <c r="B399" i="3"/>
  <c r="N391" i="3"/>
  <c r="L391" i="3"/>
  <c r="J391" i="3"/>
  <c r="H391" i="3"/>
  <c r="F391" i="3"/>
  <c r="D391" i="3"/>
  <c r="B391" i="3"/>
  <c r="B390" i="3"/>
  <c r="N382" i="3"/>
  <c r="L382" i="3"/>
  <c r="J382" i="3"/>
  <c r="H382" i="3"/>
  <c r="F382" i="3"/>
  <c r="D382" i="3"/>
  <c r="B382" i="3"/>
  <c r="B381" i="3"/>
  <c r="N373" i="3"/>
  <c r="L373" i="3"/>
  <c r="J373" i="3"/>
  <c r="D349" i="3"/>
  <c r="B349" i="3"/>
  <c r="B348" i="3"/>
  <c r="N340" i="3"/>
  <c r="L340" i="3"/>
  <c r="J340" i="3"/>
  <c r="H340" i="3"/>
  <c r="F340" i="3"/>
  <c r="D340" i="3"/>
  <c r="B340" i="3"/>
  <c r="B339" i="3"/>
  <c r="N331" i="3"/>
  <c r="L331" i="3"/>
  <c r="J331" i="3"/>
  <c r="H331" i="3"/>
  <c r="F331" i="3"/>
  <c r="D331" i="3"/>
  <c r="B331" i="3"/>
  <c r="B330" i="3"/>
  <c r="N322" i="3"/>
  <c r="L322" i="3"/>
  <c r="J322" i="3"/>
  <c r="H322" i="3"/>
  <c r="F322" i="3"/>
  <c r="D322" i="3"/>
  <c r="B322" i="3"/>
  <c r="B321" i="3"/>
  <c r="N313" i="3"/>
  <c r="L313" i="3"/>
  <c r="J313" i="3"/>
  <c r="H313" i="3"/>
  <c r="F313" i="3"/>
  <c r="N289" i="3"/>
  <c r="L289" i="3"/>
  <c r="J289" i="3"/>
  <c r="H289" i="3"/>
  <c r="F289" i="3"/>
  <c r="D289" i="3"/>
  <c r="B289" i="3"/>
  <c r="B288" i="3"/>
  <c r="N280" i="3"/>
  <c r="L280" i="3"/>
  <c r="J280" i="3"/>
  <c r="H280" i="3"/>
  <c r="F280" i="3"/>
  <c r="D280" i="3"/>
  <c r="B280" i="3"/>
  <c r="B279" i="3"/>
  <c r="N271" i="3"/>
  <c r="L271" i="3"/>
  <c r="J271" i="3"/>
  <c r="H271" i="3"/>
  <c r="F271" i="3"/>
  <c r="D271" i="3"/>
  <c r="B271" i="3"/>
  <c r="B270" i="3"/>
  <c r="N262" i="3"/>
  <c r="L262" i="3"/>
  <c r="J262" i="3"/>
  <c r="H262" i="3"/>
  <c r="F262" i="3"/>
  <c r="D262" i="3"/>
  <c r="B262" i="3"/>
  <c r="B261" i="3"/>
  <c r="N253" i="3"/>
  <c r="H229" i="3"/>
  <c r="F229" i="3"/>
  <c r="D229" i="3"/>
  <c r="B229" i="3"/>
  <c r="B228" i="3"/>
  <c r="N220" i="3"/>
  <c r="L220" i="3"/>
  <c r="J220" i="3"/>
  <c r="H220" i="3"/>
  <c r="F220" i="3"/>
  <c r="D220" i="3"/>
  <c r="B220" i="3"/>
  <c r="B219" i="3"/>
  <c r="N211" i="3"/>
  <c r="L211" i="3"/>
  <c r="J211" i="3"/>
  <c r="H211" i="3"/>
  <c r="F211" i="3"/>
  <c r="D211" i="3"/>
  <c r="B211" i="3"/>
  <c r="B210" i="3"/>
  <c r="N202" i="3"/>
  <c r="L202" i="3"/>
  <c r="J202" i="3"/>
  <c r="H202" i="3"/>
  <c r="F202" i="3"/>
  <c r="D202" i="3"/>
  <c r="B202" i="3"/>
  <c r="B201" i="3"/>
  <c r="N193" i="3"/>
  <c r="L193" i="3"/>
  <c r="J193" i="3"/>
  <c r="F169" i="3"/>
  <c r="D169" i="3"/>
  <c r="B169" i="3"/>
  <c r="B168" i="3"/>
  <c r="N160" i="3"/>
  <c r="L160" i="3"/>
  <c r="J160" i="3"/>
  <c r="H160" i="3"/>
  <c r="F160" i="3"/>
  <c r="D160" i="3"/>
  <c r="B160" i="3"/>
  <c r="B159" i="3"/>
  <c r="N151" i="3"/>
  <c r="L151" i="3"/>
  <c r="J151" i="3"/>
  <c r="H151" i="3"/>
  <c r="F151" i="3"/>
  <c r="D151" i="3"/>
  <c r="B151" i="3"/>
  <c r="B150" i="3"/>
  <c r="N142" i="3"/>
  <c r="L142" i="3"/>
  <c r="J142" i="3"/>
  <c r="H142" i="3"/>
  <c r="F142" i="3"/>
  <c r="D142" i="3"/>
  <c r="B142" i="3"/>
  <c r="B141" i="3"/>
  <c r="N133" i="3"/>
  <c r="N100" i="3"/>
  <c r="L100" i="3"/>
  <c r="J100" i="3"/>
  <c r="H100" i="3"/>
  <c r="F100" i="3"/>
  <c r="D100" i="3"/>
  <c r="B100" i="3"/>
  <c r="B99" i="3"/>
  <c r="N91" i="3"/>
  <c r="L91" i="3"/>
  <c r="J91" i="3"/>
  <c r="H91" i="3"/>
  <c r="F91" i="3"/>
  <c r="D91" i="3"/>
  <c r="B91" i="3"/>
  <c r="B90" i="3"/>
  <c r="N82" i="3"/>
  <c r="L82" i="3"/>
  <c r="J82" i="3"/>
  <c r="F82" i="3"/>
  <c r="D82" i="3"/>
  <c r="B82" i="3"/>
  <c r="B81" i="3"/>
  <c r="N73" i="3"/>
  <c r="L73" i="3"/>
  <c r="J49" i="3"/>
  <c r="H49" i="3"/>
  <c r="F49" i="3"/>
  <c r="D49" i="3"/>
  <c r="B49" i="3"/>
  <c r="B48" i="3"/>
  <c r="N40" i="3"/>
  <c r="L40" i="3"/>
  <c r="J40" i="3"/>
  <c r="H40" i="3"/>
  <c r="F40" i="3"/>
  <c r="D40" i="3"/>
  <c r="B40" i="3"/>
  <c r="B39" i="3"/>
  <c r="N31" i="3"/>
  <c r="L31" i="3"/>
  <c r="J31" i="3"/>
  <c r="H31" i="3"/>
  <c r="F31" i="3"/>
  <c r="D31" i="3"/>
  <c r="B31" i="3"/>
  <c r="B30" i="3"/>
  <c r="N22" i="3"/>
  <c r="L22" i="3"/>
  <c r="J22" i="3"/>
  <c r="H22" i="3"/>
  <c r="F22" i="3"/>
  <c r="D22" i="3"/>
  <c r="B22" i="3"/>
  <c r="B21" i="3"/>
  <c r="N13" i="3"/>
  <c r="L13" i="3"/>
  <c r="J13" i="3"/>
  <c r="H698" i="4"/>
  <c r="F698" i="4"/>
  <c r="D698" i="4"/>
  <c r="B698" i="4"/>
  <c r="B697" i="4"/>
  <c r="N689" i="4"/>
  <c r="L689" i="4"/>
  <c r="J689" i="4"/>
  <c r="H689" i="4"/>
  <c r="F689" i="4"/>
  <c r="D689" i="4"/>
  <c r="B689" i="4"/>
  <c r="B688" i="4"/>
  <c r="N680" i="4"/>
  <c r="L680" i="4"/>
  <c r="J680" i="4"/>
  <c r="H680" i="4"/>
  <c r="F680" i="4"/>
  <c r="D680" i="4"/>
  <c r="B680" i="4"/>
  <c r="B679" i="4"/>
  <c r="N671" i="4"/>
  <c r="L671" i="4"/>
  <c r="H671" i="4"/>
  <c r="F671" i="4"/>
  <c r="D671" i="4"/>
  <c r="B671" i="4"/>
  <c r="B670" i="4"/>
  <c r="N662" i="4"/>
  <c r="L662" i="4"/>
  <c r="H662" i="4"/>
  <c r="D639" i="4"/>
  <c r="B639" i="4"/>
  <c r="B638" i="4"/>
  <c r="N621" i="4"/>
  <c r="L621" i="4"/>
  <c r="J621" i="4"/>
  <c r="H621" i="4"/>
  <c r="F621" i="4"/>
  <c r="D621" i="4"/>
  <c r="B621" i="4"/>
  <c r="B620" i="4"/>
  <c r="N612" i="4"/>
  <c r="L612" i="4"/>
  <c r="J612" i="4"/>
  <c r="H612" i="4"/>
  <c r="F612" i="4"/>
  <c r="D612" i="4"/>
  <c r="B612" i="4"/>
  <c r="B611" i="4"/>
  <c r="L580" i="4"/>
  <c r="J580" i="4"/>
  <c r="H580" i="4"/>
  <c r="F580" i="4"/>
  <c r="D580" i="4"/>
  <c r="B580" i="4"/>
  <c r="B579" i="4"/>
  <c r="N571" i="4"/>
  <c r="L571" i="4"/>
  <c r="J571" i="4"/>
  <c r="H571" i="4"/>
  <c r="F571" i="4"/>
  <c r="D571" i="4"/>
  <c r="B571" i="4"/>
  <c r="B570" i="4"/>
  <c r="N562" i="4"/>
  <c r="L562" i="4"/>
  <c r="J562" i="4"/>
  <c r="H562" i="4"/>
  <c r="F562" i="4"/>
  <c r="D562" i="4"/>
  <c r="B562" i="4"/>
  <c r="B561" i="4"/>
  <c r="N553" i="4"/>
  <c r="L553" i="4"/>
  <c r="J553" i="4"/>
  <c r="H553" i="4"/>
  <c r="F553" i="4"/>
  <c r="D553" i="4"/>
  <c r="B553" i="4"/>
  <c r="B552" i="4"/>
  <c r="N544" i="4"/>
  <c r="L544" i="4"/>
  <c r="F521" i="4"/>
  <c r="D521" i="4"/>
  <c r="B521" i="4"/>
  <c r="B520" i="4"/>
  <c r="N512" i="4"/>
  <c r="L512" i="4"/>
  <c r="J512" i="4"/>
  <c r="H512" i="4"/>
  <c r="F512" i="4"/>
  <c r="D512" i="4"/>
  <c r="B512" i="4"/>
  <c r="B511" i="4"/>
  <c r="N503" i="4"/>
  <c r="L503" i="4"/>
  <c r="J503" i="4"/>
  <c r="H503" i="4"/>
  <c r="F503" i="4"/>
  <c r="D503" i="4"/>
  <c r="B503" i="4"/>
  <c r="B502" i="4"/>
  <c r="N494" i="4"/>
  <c r="L494" i="4"/>
  <c r="J494" i="4"/>
  <c r="H494" i="4"/>
  <c r="F494" i="4"/>
  <c r="D494" i="4"/>
  <c r="B494" i="4"/>
  <c r="B493" i="4"/>
  <c r="N485" i="4"/>
  <c r="L485" i="4"/>
  <c r="J485" i="4"/>
  <c r="H485" i="4"/>
  <c r="D462" i="4"/>
  <c r="B462" i="4"/>
  <c r="B461" i="4"/>
  <c r="N453" i="4"/>
  <c r="L453" i="4"/>
  <c r="J453" i="4"/>
  <c r="H453" i="4"/>
  <c r="F453" i="4"/>
  <c r="D453" i="4"/>
  <c r="B453" i="4"/>
  <c r="B452" i="4"/>
  <c r="N444" i="4"/>
  <c r="L444" i="4"/>
  <c r="J444" i="4"/>
  <c r="H444" i="4"/>
  <c r="F444" i="4"/>
  <c r="D444" i="4"/>
  <c r="B444" i="4"/>
  <c r="B443" i="4"/>
  <c r="N435" i="4"/>
  <c r="L435" i="4"/>
  <c r="J435" i="4"/>
  <c r="H435" i="4"/>
  <c r="F435" i="4"/>
  <c r="D435" i="4"/>
  <c r="B435" i="4"/>
  <c r="B434" i="4"/>
  <c r="J403" i="4"/>
  <c r="H403" i="4"/>
  <c r="F403" i="4"/>
  <c r="D403" i="4"/>
  <c r="B403" i="4"/>
  <c r="B402" i="4"/>
  <c r="N394" i="4"/>
  <c r="L394" i="4"/>
  <c r="J394" i="4"/>
  <c r="H394" i="4"/>
  <c r="F394" i="4"/>
  <c r="D394" i="4"/>
  <c r="B394" i="4"/>
  <c r="B393" i="4"/>
  <c r="N385" i="4"/>
  <c r="L385" i="4"/>
  <c r="J385" i="4"/>
  <c r="H385" i="4"/>
  <c r="F385" i="4"/>
  <c r="D385" i="4"/>
  <c r="B385" i="4"/>
  <c r="B384" i="4"/>
  <c r="N376" i="4"/>
  <c r="L376" i="4"/>
  <c r="J376" i="4"/>
  <c r="H376" i="4"/>
  <c r="F376" i="4"/>
  <c r="D376" i="4"/>
  <c r="B376" i="4"/>
  <c r="B375" i="4"/>
  <c r="N367" i="4"/>
  <c r="L367" i="4"/>
  <c r="J367" i="4"/>
  <c r="D344" i="4"/>
  <c r="B344" i="4"/>
  <c r="B343" i="4"/>
  <c r="N335" i="4"/>
  <c r="L335" i="4"/>
  <c r="J335" i="4"/>
  <c r="H335" i="4"/>
  <c r="F335" i="4"/>
  <c r="D335" i="4"/>
  <c r="B335" i="4"/>
  <c r="B334" i="4"/>
  <c r="N326" i="4"/>
  <c r="L326" i="4"/>
  <c r="J326" i="4"/>
  <c r="H326" i="4"/>
  <c r="F326" i="4"/>
  <c r="D326" i="4"/>
  <c r="B326" i="4"/>
  <c r="B325" i="4"/>
  <c r="N317" i="4"/>
  <c r="L317" i="4"/>
  <c r="J317" i="4"/>
  <c r="H317" i="4"/>
  <c r="F317" i="4"/>
  <c r="D317" i="4"/>
  <c r="B317" i="4"/>
  <c r="B316" i="4"/>
  <c r="N308" i="4"/>
  <c r="L308" i="4"/>
  <c r="J308" i="4"/>
  <c r="F308" i="4"/>
  <c r="N285" i="4"/>
  <c r="L285" i="4"/>
  <c r="J285" i="4"/>
  <c r="H285" i="4"/>
  <c r="F285" i="4"/>
  <c r="D285" i="4"/>
  <c r="B285" i="4"/>
  <c r="B284" i="4"/>
  <c r="N276" i="4"/>
  <c r="L276" i="4"/>
  <c r="J276" i="4"/>
  <c r="H276" i="4"/>
  <c r="F276" i="4"/>
  <c r="D276" i="4"/>
  <c r="B276" i="4"/>
  <c r="B275" i="4"/>
  <c r="N267" i="4"/>
  <c r="L267" i="4"/>
  <c r="J267" i="4"/>
  <c r="H267" i="4"/>
  <c r="F267" i="4"/>
  <c r="D267" i="4"/>
  <c r="B267" i="4"/>
  <c r="B266" i="4"/>
  <c r="N258" i="4"/>
  <c r="L258" i="4"/>
  <c r="J258" i="4"/>
  <c r="H258" i="4"/>
  <c r="F258" i="4"/>
  <c r="D258" i="4"/>
  <c r="B258" i="4"/>
  <c r="B257" i="4"/>
  <c r="N249" i="4"/>
  <c r="H226" i="4"/>
  <c r="F226" i="4"/>
  <c r="D226" i="4"/>
  <c r="B226" i="4"/>
  <c r="B225" i="4"/>
  <c r="N217" i="4"/>
  <c r="L217" i="4"/>
  <c r="J217" i="4"/>
  <c r="H217" i="4"/>
  <c r="F217" i="4"/>
  <c r="D217" i="4"/>
  <c r="B217" i="4"/>
  <c r="B216" i="4"/>
  <c r="N208" i="4"/>
  <c r="L208" i="4"/>
  <c r="J208" i="4"/>
  <c r="H208" i="4"/>
  <c r="F208" i="4"/>
  <c r="D208" i="4"/>
  <c r="B208" i="4"/>
  <c r="B207" i="4"/>
  <c r="N199" i="4"/>
  <c r="L199" i="4"/>
  <c r="J199" i="4"/>
  <c r="H199" i="4"/>
  <c r="F199" i="4"/>
  <c r="D199" i="4"/>
  <c r="B199" i="4"/>
  <c r="B198" i="4"/>
  <c r="N190" i="4"/>
  <c r="L190" i="4"/>
  <c r="J190" i="4"/>
  <c r="F167" i="4"/>
  <c r="D167" i="4"/>
  <c r="B167" i="4"/>
  <c r="B166" i="4"/>
  <c r="N158" i="4"/>
  <c r="L158" i="4"/>
  <c r="J158" i="4"/>
  <c r="H158" i="4"/>
  <c r="F158" i="4"/>
  <c r="D158" i="4"/>
  <c r="B158" i="4"/>
  <c r="B157" i="4"/>
  <c r="N149" i="4"/>
  <c r="L149" i="4"/>
  <c r="J149" i="4"/>
  <c r="H149" i="4"/>
  <c r="F149" i="4"/>
  <c r="D149" i="4"/>
  <c r="B149" i="4"/>
  <c r="B148" i="4"/>
  <c r="N140" i="4"/>
  <c r="L140" i="4"/>
  <c r="H140" i="4"/>
  <c r="F140" i="4"/>
  <c r="D140" i="4"/>
  <c r="B140" i="4"/>
  <c r="B139" i="4"/>
  <c r="N131" i="4"/>
  <c r="N99" i="4"/>
  <c r="L99" i="4"/>
  <c r="J99" i="4"/>
  <c r="H99" i="4"/>
  <c r="F99" i="4"/>
  <c r="D99" i="4"/>
  <c r="B99" i="4"/>
  <c r="B98" i="4"/>
  <c r="N90" i="4"/>
  <c r="L90" i="4"/>
  <c r="J90" i="4"/>
  <c r="H90" i="4"/>
  <c r="F90" i="4"/>
  <c r="D90" i="4"/>
  <c r="B90" i="4"/>
  <c r="B89" i="4"/>
  <c r="N72" i="4"/>
  <c r="N81" i="4"/>
  <c r="L81" i="4"/>
  <c r="J81" i="4"/>
  <c r="F81" i="4"/>
  <c r="D81" i="4"/>
  <c r="B81" i="4"/>
  <c r="B80" i="4"/>
  <c r="J49" i="4"/>
  <c r="H49" i="4"/>
  <c r="F49" i="4"/>
  <c r="D49" i="4"/>
  <c r="B49" i="4"/>
  <c r="B48" i="4"/>
  <c r="N40" i="4"/>
  <c r="L40" i="4"/>
  <c r="J40" i="4"/>
  <c r="H40" i="4"/>
  <c r="F40" i="4"/>
  <c r="D40" i="4"/>
  <c r="B40" i="4"/>
  <c r="B39" i="4"/>
  <c r="N31" i="4"/>
  <c r="L31" i="4"/>
  <c r="J31" i="4"/>
  <c r="H31" i="4"/>
  <c r="F31" i="4"/>
  <c r="D31" i="4"/>
  <c r="B31" i="4"/>
  <c r="B30" i="4"/>
  <c r="N22" i="4"/>
  <c r="L22" i="4"/>
  <c r="J22" i="4"/>
  <c r="H22" i="4"/>
  <c r="F22" i="4"/>
  <c r="D22" i="4"/>
  <c r="B22" i="4"/>
  <c r="B21" i="4"/>
  <c r="N13" i="4"/>
  <c r="L13" i="4"/>
  <c r="L604" i="3" l="1"/>
  <c r="N544" i="3"/>
  <c r="L543" i="3" s="1"/>
  <c r="W17" i="2"/>
  <c r="V18" i="2"/>
  <c r="S17" i="2"/>
  <c r="T17" i="2"/>
  <c r="U17" i="2"/>
  <c r="P16" i="2"/>
  <c r="T18" i="2"/>
  <c r="R16" i="2"/>
  <c r="U18" i="2"/>
  <c r="V17" i="2"/>
  <c r="S18" i="2"/>
  <c r="W18" i="2"/>
  <c r="K108" i="4"/>
  <c r="K167" i="4"/>
  <c r="E108" i="4"/>
  <c r="M108" i="4"/>
  <c r="I108" i="4"/>
  <c r="G108" i="4"/>
  <c r="O167" i="4"/>
  <c r="M167" i="4"/>
  <c r="B22" i="1"/>
  <c r="AD18" i="5" l="1"/>
  <c r="AB18" i="5"/>
  <c r="AC18" i="5"/>
  <c r="AD16" i="5"/>
  <c r="AC15" i="5"/>
  <c r="AB14" i="5"/>
  <c r="Z13" i="5"/>
  <c r="AC12" i="5"/>
  <c r="W12" i="5"/>
  <c r="Z11" i="5"/>
  <c r="AC10" i="5"/>
  <c r="Y10" i="5"/>
  <c r="AC9" i="5"/>
  <c r="Y9" i="5"/>
  <c r="AC8" i="5"/>
  <c r="Y8" i="5"/>
  <c r="AC7" i="5"/>
  <c r="Y7" i="5"/>
  <c r="AC6" i="5"/>
  <c r="Y6" i="5"/>
  <c r="C18" i="2" s="1"/>
  <c r="AC5" i="5"/>
  <c r="Y5" i="5"/>
  <c r="AB11" i="5"/>
  <c r="AD17" i="5"/>
  <c r="AC16" i="5"/>
  <c r="AB15" i="5"/>
  <c r="AD13" i="5"/>
  <c r="X13" i="5"/>
  <c r="AB12" i="5"/>
  <c r="AD11" i="5"/>
  <c r="X11" i="5"/>
  <c r="AB10" i="5"/>
  <c r="X10" i="5"/>
  <c r="AB9" i="5"/>
  <c r="X9" i="5"/>
  <c r="AB8" i="5"/>
  <c r="X8" i="5"/>
  <c r="AB7" i="5"/>
  <c r="X7" i="5"/>
  <c r="AB6" i="5"/>
  <c r="X6" i="5"/>
  <c r="AB5" i="5"/>
  <c r="X5" i="5"/>
  <c r="AD15" i="5"/>
  <c r="AB13" i="5"/>
  <c r="X12" i="5"/>
  <c r="Z10" i="5"/>
  <c r="Z9" i="5"/>
  <c r="Z8" i="5"/>
  <c r="Z7" i="5"/>
  <c r="Z6" i="5"/>
  <c r="Z5" i="5"/>
  <c r="AC17" i="5"/>
  <c r="AB16" i="5"/>
  <c r="AD14" i="5"/>
  <c r="AC13" i="5"/>
  <c r="W13" i="5"/>
  <c r="Z12" i="5"/>
  <c r="AC11" i="5"/>
  <c r="W11" i="5"/>
  <c r="AA10" i="5"/>
  <c r="W10" i="5"/>
  <c r="AA9" i="5"/>
  <c r="W9" i="5"/>
  <c r="AA8" i="5"/>
  <c r="W8" i="5"/>
  <c r="AA7" i="5"/>
  <c r="W7" i="5"/>
  <c r="AA6" i="5"/>
  <c r="W6" i="5"/>
  <c r="AA5" i="5"/>
  <c r="W5" i="5"/>
  <c r="AB17" i="5"/>
  <c r="AC14" i="5"/>
  <c r="AD12" i="5"/>
  <c r="AD10" i="5"/>
  <c r="AD9" i="5"/>
  <c r="AD8" i="5"/>
  <c r="AD7" i="5"/>
  <c r="AD6" i="5"/>
  <c r="AD5" i="5"/>
  <c r="L664" i="3"/>
  <c r="N604" i="3"/>
  <c r="L603" i="3" s="1"/>
  <c r="J27" i="2"/>
  <c r="J28" i="2"/>
  <c r="J35" i="2"/>
  <c r="J31" i="2"/>
  <c r="J26" i="2"/>
  <c r="J25" i="2"/>
  <c r="J32" i="2"/>
  <c r="J34" i="2"/>
  <c r="J33" i="2"/>
  <c r="J24" i="2"/>
  <c r="N52" i="4"/>
  <c r="L52" i="4"/>
  <c r="J52" i="4"/>
  <c r="H52" i="4"/>
  <c r="F52" i="4"/>
  <c r="D52" i="4"/>
  <c r="B52" i="4"/>
  <c r="J47" i="4"/>
  <c r="H47" i="4"/>
  <c r="F47" i="4"/>
  <c r="D47" i="4"/>
  <c r="J46" i="4"/>
  <c r="H46" i="4"/>
  <c r="F46" i="4"/>
  <c r="D46" i="4"/>
  <c r="B46" i="4"/>
  <c r="J45" i="4"/>
  <c r="H45" i="4"/>
  <c r="F45" i="4"/>
  <c r="D45" i="4"/>
  <c r="B45" i="4"/>
  <c r="N43" i="4"/>
  <c r="L43" i="4"/>
  <c r="J43" i="4"/>
  <c r="H43" i="4"/>
  <c r="F43" i="4"/>
  <c r="D43" i="4"/>
  <c r="B43" i="4"/>
  <c r="L38" i="4"/>
  <c r="J38" i="4"/>
  <c r="H38" i="4"/>
  <c r="F38" i="4"/>
  <c r="D38" i="4"/>
  <c r="N37" i="4"/>
  <c r="L37" i="4"/>
  <c r="J37" i="4"/>
  <c r="H37" i="4"/>
  <c r="F37" i="4"/>
  <c r="D37" i="4"/>
  <c r="B37" i="4"/>
  <c r="N36" i="4"/>
  <c r="L36" i="4"/>
  <c r="J36" i="4"/>
  <c r="H36" i="4"/>
  <c r="F36" i="4"/>
  <c r="D36" i="4"/>
  <c r="B36" i="4"/>
  <c r="L29" i="4"/>
  <c r="J29" i="4"/>
  <c r="H29" i="4"/>
  <c r="F29" i="4"/>
  <c r="D29" i="4"/>
  <c r="N28" i="4"/>
  <c r="L28" i="4"/>
  <c r="J28" i="4"/>
  <c r="H28" i="4"/>
  <c r="F28" i="4"/>
  <c r="D28" i="4"/>
  <c r="B28" i="4"/>
  <c r="N27" i="4"/>
  <c r="L27" i="4"/>
  <c r="J27" i="4"/>
  <c r="H27" i="4"/>
  <c r="F27" i="4"/>
  <c r="D27" i="4"/>
  <c r="B27" i="4"/>
  <c r="L20" i="4"/>
  <c r="J20" i="4"/>
  <c r="F20" i="4"/>
  <c r="D20" i="4"/>
  <c r="N19" i="4"/>
  <c r="L19" i="4"/>
  <c r="H19" i="4"/>
  <c r="F19" i="4"/>
  <c r="D19" i="4"/>
  <c r="B19" i="4"/>
  <c r="N18" i="4"/>
  <c r="L18" i="4"/>
  <c r="J18" i="4"/>
  <c r="H18" i="4"/>
  <c r="F18" i="4"/>
  <c r="D18" i="4"/>
  <c r="B18" i="4"/>
  <c r="L11" i="4"/>
  <c r="N10" i="4"/>
  <c r="L9" i="4"/>
  <c r="E14" i="4"/>
  <c r="L97" i="4"/>
  <c r="J97" i="4"/>
  <c r="H97" i="4"/>
  <c r="F97" i="4"/>
  <c r="D97" i="4"/>
  <c r="N96" i="4"/>
  <c r="L96" i="4"/>
  <c r="J96" i="4"/>
  <c r="H96" i="4"/>
  <c r="F96" i="4"/>
  <c r="D96" i="4"/>
  <c r="B96" i="4"/>
  <c r="N95" i="4"/>
  <c r="L95" i="4"/>
  <c r="J95" i="4"/>
  <c r="H95" i="4"/>
  <c r="F95" i="4"/>
  <c r="D95" i="4"/>
  <c r="B95" i="4"/>
  <c r="L88" i="4"/>
  <c r="J88" i="4"/>
  <c r="H88" i="4"/>
  <c r="F88" i="4"/>
  <c r="D88" i="4"/>
  <c r="N87" i="4"/>
  <c r="L87" i="4"/>
  <c r="J87" i="4"/>
  <c r="H87" i="4"/>
  <c r="F87" i="4"/>
  <c r="D87" i="4"/>
  <c r="B87" i="4"/>
  <c r="N86" i="4"/>
  <c r="L86" i="4"/>
  <c r="J86" i="4"/>
  <c r="H86" i="4"/>
  <c r="F86" i="4"/>
  <c r="D86" i="4"/>
  <c r="B86" i="4"/>
  <c r="L79" i="4"/>
  <c r="J79" i="4"/>
  <c r="H79" i="4"/>
  <c r="F79" i="4"/>
  <c r="D79" i="4"/>
  <c r="N78" i="4"/>
  <c r="L78" i="4"/>
  <c r="J78" i="4"/>
  <c r="H78" i="4"/>
  <c r="F78" i="4"/>
  <c r="D78" i="4"/>
  <c r="B78" i="4"/>
  <c r="N77" i="4"/>
  <c r="L77" i="4"/>
  <c r="J77" i="4"/>
  <c r="H77" i="4"/>
  <c r="F77" i="4"/>
  <c r="D77" i="4"/>
  <c r="B77" i="4"/>
  <c r="L70" i="4"/>
  <c r="N69" i="4"/>
  <c r="L69" i="4"/>
  <c r="N68" i="4"/>
  <c r="L68" i="4"/>
  <c r="F165" i="4"/>
  <c r="D165" i="4"/>
  <c r="F164" i="4"/>
  <c r="D164" i="4"/>
  <c r="B164" i="4"/>
  <c r="F163" i="4"/>
  <c r="D163" i="4"/>
  <c r="B163" i="4"/>
  <c r="L156" i="4"/>
  <c r="J156" i="4"/>
  <c r="H156" i="4"/>
  <c r="F156" i="4"/>
  <c r="D156" i="4"/>
  <c r="N155" i="4"/>
  <c r="L155" i="4"/>
  <c r="J155" i="4"/>
  <c r="H155" i="4"/>
  <c r="F155" i="4"/>
  <c r="D155" i="4"/>
  <c r="B155" i="4"/>
  <c r="N154" i="4"/>
  <c r="L154" i="4"/>
  <c r="J154" i="4"/>
  <c r="H154" i="4"/>
  <c r="F154" i="4"/>
  <c r="D154" i="4"/>
  <c r="B154" i="4"/>
  <c r="L147" i="4"/>
  <c r="J147" i="4"/>
  <c r="H147" i="4"/>
  <c r="F147" i="4"/>
  <c r="D147" i="4"/>
  <c r="N146" i="4"/>
  <c r="L146" i="4"/>
  <c r="J146" i="4"/>
  <c r="H146" i="4"/>
  <c r="F146" i="4"/>
  <c r="D146" i="4"/>
  <c r="B146" i="4"/>
  <c r="N145" i="4"/>
  <c r="L145" i="4"/>
  <c r="J145" i="4"/>
  <c r="H145" i="4"/>
  <c r="F145" i="4"/>
  <c r="D145" i="4"/>
  <c r="B145" i="4"/>
  <c r="L138" i="4"/>
  <c r="J138" i="4"/>
  <c r="H138" i="4"/>
  <c r="F138" i="4"/>
  <c r="D138" i="4"/>
  <c r="N137" i="4"/>
  <c r="L137" i="4"/>
  <c r="J137" i="4"/>
  <c r="H137" i="4"/>
  <c r="F137" i="4"/>
  <c r="D137" i="4"/>
  <c r="B137" i="4"/>
  <c r="N136" i="4"/>
  <c r="L136" i="4"/>
  <c r="J136" i="4"/>
  <c r="H136" i="4"/>
  <c r="F136" i="4"/>
  <c r="D136" i="4"/>
  <c r="B136" i="4"/>
  <c r="N128" i="4"/>
  <c r="N127" i="4"/>
  <c r="H224" i="4"/>
  <c r="F224" i="4"/>
  <c r="D224" i="4"/>
  <c r="H223" i="4"/>
  <c r="F223" i="4"/>
  <c r="D223" i="4"/>
  <c r="B223" i="4"/>
  <c r="H222" i="4"/>
  <c r="F222" i="4"/>
  <c r="D222" i="4"/>
  <c r="B222" i="4"/>
  <c r="L215" i="4"/>
  <c r="J215" i="4"/>
  <c r="H215" i="4"/>
  <c r="F215" i="4"/>
  <c r="D215" i="4"/>
  <c r="N214" i="4"/>
  <c r="L214" i="4"/>
  <c r="J214" i="4"/>
  <c r="H214" i="4"/>
  <c r="F214" i="4"/>
  <c r="D214" i="4"/>
  <c r="B214" i="4"/>
  <c r="N213" i="4"/>
  <c r="L213" i="4"/>
  <c r="J213" i="4"/>
  <c r="H213" i="4"/>
  <c r="F213" i="4"/>
  <c r="D213" i="4"/>
  <c r="B213" i="4"/>
  <c r="L206" i="4"/>
  <c r="J206" i="4"/>
  <c r="H206" i="4"/>
  <c r="F206" i="4"/>
  <c r="D206" i="4"/>
  <c r="N205" i="4"/>
  <c r="L205" i="4"/>
  <c r="J205" i="4"/>
  <c r="H205" i="4"/>
  <c r="F205" i="4"/>
  <c r="D205" i="4"/>
  <c r="B205" i="4"/>
  <c r="N204" i="4"/>
  <c r="L204" i="4"/>
  <c r="J204" i="4"/>
  <c r="H204" i="4"/>
  <c r="F204" i="4"/>
  <c r="D204" i="4"/>
  <c r="B204" i="4"/>
  <c r="L197" i="4"/>
  <c r="J197" i="4"/>
  <c r="H197" i="4"/>
  <c r="F197" i="4"/>
  <c r="D197" i="4"/>
  <c r="N196" i="4"/>
  <c r="L196" i="4"/>
  <c r="J196" i="4"/>
  <c r="H196" i="4"/>
  <c r="F196" i="4"/>
  <c r="D196" i="4"/>
  <c r="B196" i="4"/>
  <c r="N195" i="4"/>
  <c r="L195" i="4"/>
  <c r="J195" i="4"/>
  <c r="H195" i="4"/>
  <c r="F195" i="4"/>
  <c r="D195" i="4"/>
  <c r="B195" i="4"/>
  <c r="L188" i="4"/>
  <c r="J188" i="4"/>
  <c r="N187" i="4"/>
  <c r="L187" i="4"/>
  <c r="J187" i="4"/>
  <c r="N186" i="4"/>
  <c r="L186" i="4"/>
  <c r="J186" i="4"/>
  <c r="C191" i="4"/>
  <c r="L283" i="4"/>
  <c r="J283" i="4"/>
  <c r="H283" i="4"/>
  <c r="F283" i="4"/>
  <c r="D283" i="4"/>
  <c r="N282" i="4"/>
  <c r="L282" i="4"/>
  <c r="J282" i="4"/>
  <c r="H282" i="4"/>
  <c r="F282" i="4"/>
  <c r="D282" i="4"/>
  <c r="B282" i="4"/>
  <c r="N281" i="4"/>
  <c r="L281" i="4"/>
  <c r="J281" i="4"/>
  <c r="H281" i="4"/>
  <c r="F281" i="4"/>
  <c r="D281" i="4"/>
  <c r="B281" i="4"/>
  <c r="L274" i="4"/>
  <c r="J274" i="4"/>
  <c r="H274" i="4"/>
  <c r="F274" i="4"/>
  <c r="D274" i="4"/>
  <c r="N273" i="4"/>
  <c r="L273" i="4"/>
  <c r="J273" i="4"/>
  <c r="H273" i="4"/>
  <c r="F273" i="4"/>
  <c r="D273" i="4"/>
  <c r="B273" i="4"/>
  <c r="N272" i="4"/>
  <c r="L272" i="4"/>
  <c r="J272" i="4"/>
  <c r="H272" i="4"/>
  <c r="F272" i="4"/>
  <c r="D272" i="4"/>
  <c r="B272" i="4"/>
  <c r="L265" i="4"/>
  <c r="J265" i="4"/>
  <c r="H265" i="4"/>
  <c r="F265" i="4"/>
  <c r="D265" i="4"/>
  <c r="N264" i="4"/>
  <c r="L264" i="4"/>
  <c r="J264" i="4"/>
  <c r="H264" i="4"/>
  <c r="F264" i="4"/>
  <c r="D264" i="4"/>
  <c r="B264" i="4"/>
  <c r="N263" i="4"/>
  <c r="L263" i="4"/>
  <c r="J263" i="4"/>
  <c r="H263" i="4"/>
  <c r="F263" i="4"/>
  <c r="D263" i="4"/>
  <c r="B263" i="4"/>
  <c r="L256" i="4"/>
  <c r="J256" i="4"/>
  <c r="H256" i="4"/>
  <c r="F256" i="4"/>
  <c r="D256" i="4"/>
  <c r="N255" i="4"/>
  <c r="L255" i="4"/>
  <c r="J255" i="4"/>
  <c r="H255" i="4"/>
  <c r="F255" i="4"/>
  <c r="D255" i="4"/>
  <c r="B255" i="4"/>
  <c r="N254" i="4"/>
  <c r="L254" i="4"/>
  <c r="J254" i="4"/>
  <c r="H254" i="4"/>
  <c r="F254" i="4"/>
  <c r="D254" i="4"/>
  <c r="B254" i="4"/>
  <c r="N246" i="4"/>
  <c r="N245" i="4"/>
  <c r="D342" i="4"/>
  <c r="D341" i="4"/>
  <c r="B341" i="4"/>
  <c r="D340" i="4"/>
  <c r="B340" i="4"/>
  <c r="L333" i="4"/>
  <c r="J333" i="4"/>
  <c r="H333" i="4"/>
  <c r="F333" i="4"/>
  <c r="D333" i="4"/>
  <c r="N332" i="4"/>
  <c r="L332" i="4"/>
  <c r="J332" i="4"/>
  <c r="H332" i="4"/>
  <c r="F332" i="4"/>
  <c r="D332" i="4"/>
  <c r="B332" i="4"/>
  <c r="N331" i="4"/>
  <c r="L331" i="4"/>
  <c r="J331" i="4"/>
  <c r="H331" i="4"/>
  <c r="F331" i="4"/>
  <c r="D331" i="4"/>
  <c r="B331" i="4"/>
  <c r="L324" i="4"/>
  <c r="J324" i="4"/>
  <c r="H324" i="4"/>
  <c r="F324" i="4"/>
  <c r="D324" i="4"/>
  <c r="N323" i="4"/>
  <c r="L323" i="4"/>
  <c r="J323" i="4"/>
  <c r="H323" i="4"/>
  <c r="F323" i="4"/>
  <c r="D323" i="4"/>
  <c r="B323" i="4"/>
  <c r="N322" i="4"/>
  <c r="L322" i="4"/>
  <c r="J322" i="4"/>
  <c r="H322" i="4"/>
  <c r="F322" i="4"/>
  <c r="D322" i="4"/>
  <c r="B322" i="4"/>
  <c r="L315" i="4"/>
  <c r="J315" i="4"/>
  <c r="H315" i="4"/>
  <c r="F315" i="4"/>
  <c r="D315" i="4"/>
  <c r="N314" i="4"/>
  <c r="L314" i="4"/>
  <c r="J314" i="4"/>
  <c r="H314" i="4"/>
  <c r="F314" i="4"/>
  <c r="D314" i="4"/>
  <c r="B314" i="4"/>
  <c r="N313" i="4"/>
  <c r="L313" i="4"/>
  <c r="J313" i="4"/>
  <c r="H313" i="4"/>
  <c r="F313" i="4"/>
  <c r="D313" i="4"/>
  <c r="B313" i="4"/>
  <c r="L306" i="4"/>
  <c r="J306" i="4"/>
  <c r="H306" i="4"/>
  <c r="F306" i="4"/>
  <c r="N305" i="4"/>
  <c r="L305" i="4"/>
  <c r="J305" i="4"/>
  <c r="H305" i="4"/>
  <c r="F305" i="4"/>
  <c r="N304" i="4"/>
  <c r="L304" i="4"/>
  <c r="J304" i="4"/>
  <c r="H304" i="4"/>
  <c r="F304" i="4"/>
  <c r="J401" i="4"/>
  <c r="H401" i="4"/>
  <c r="F401" i="4"/>
  <c r="D401" i="4"/>
  <c r="J400" i="4"/>
  <c r="H400" i="4"/>
  <c r="F400" i="4"/>
  <c r="D400" i="4"/>
  <c r="B400" i="4"/>
  <c r="J399" i="4"/>
  <c r="H399" i="4"/>
  <c r="F399" i="4"/>
  <c r="D399" i="4"/>
  <c r="B399" i="4"/>
  <c r="L392" i="4"/>
  <c r="J392" i="4"/>
  <c r="H392" i="4"/>
  <c r="F392" i="4"/>
  <c r="D392" i="4"/>
  <c r="N391" i="4"/>
  <c r="L391" i="4"/>
  <c r="J391" i="4"/>
  <c r="H391" i="4"/>
  <c r="F391" i="4"/>
  <c r="D391" i="4"/>
  <c r="B391" i="4"/>
  <c r="N390" i="4"/>
  <c r="L390" i="4"/>
  <c r="J390" i="4"/>
  <c r="H390" i="4"/>
  <c r="F390" i="4"/>
  <c r="D390" i="4"/>
  <c r="B390" i="4"/>
  <c r="L383" i="4"/>
  <c r="J383" i="4"/>
  <c r="H383" i="4"/>
  <c r="F383" i="4"/>
  <c r="D383" i="4"/>
  <c r="N382" i="4"/>
  <c r="L382" i="4"/>
  <c r="J382" i="4"/>
  <c r="H382" i="4"/>
  <c r="F382" i="4"/>
  <c r="D382" i="4"/>
  <c r="B382" i="4"/>
  <c r="N381" i="4"/>
  <c r="L381" i="4"/>
  <c r="J381" i="4"/>
  <c r="H381" i="4"/>
  <c r="F381" i="4"/>
  <c r="D381" i="4"/>
  <c r="B381" i="4"/>
  <c r="L374" i="4"/>
  <c r="J374" i="4"/>
  <c r="H374" i="4"/>
  <c r="F374" i="4"/>
  <c r="D374" i="4"/>
  <c r="N373" i="4"/>
  <c r="L373" i="4"/>
  <c r="J373" i="4"/>
  <c r="H373" i="4"/>
  <c r="F373" i="4"/>
  <c r="D373" i="4"/>
  <c r="B373" i="4"/>
  <c r="N372" i="4"/>
  <c r="L372" i="4"/>
  <c r="J372" i="4"/>
  <c r="H372" i="4"/>
  <c r="F372" i="4"/>
  <c r="D372" i="4"/>
  <c r="B372" i="4"/>
  <c r="L365" i="4"/>
  <c r="J365" i="4"/>
  <c r="N364" i="4"/>
  <c r="L364" i="4"/>
  <c r="J364" i="4"/>
  <c r="N363" i="4"/>
  <c r="L363" i="4"/>
  <c r="J363" i="4"/>
  <c r="E368" i="4"/>
  <c r="D460" i="4"/>
  <c r="D459" i="4"/>
  <c r="B459" i="4"/>
  <c r="D458" i="4"/>
  <c r="B458" i="4"/>
  <c r="L451" i="4"/>
  <c r="J451" i="4"/>
  <c r="H451" i="4"/>
  <c r="F451" i="4"/>
  <c r="D451" i="4"/>
  <c r="N450" i="4"/>
  <c r="L450" i="4"/>
  <c r="J450" i="4"/>
  <c r="H450" i="4"/>
  <c r="F450" i="4"/>
  <c r="D450" i="4"/>
  <c r="B450" i="4"/>
  <c r="N449" i="4"/>
  <c r="L449" i="4"/>
  <c r="J449" i="4"/>
  <c r="H449" i="4"/>
  <c r="F449" i="4"/>
  <c r="D449" i="4"/>
  <c r="B449" i="4"/>
  <c r="L442" i="4"/>
  <c r="J442" i="4"/>
  <c r="H442" i="4"/>
  <c r="F442" i="4"/>
  <c r="D442" i="4"/>
  <c r="N441" i="4"/>
  <c r="L441" i="4"/>
  <c r="J441" i="4"/>
  <c r="H441" i="4"/>
  <c r="F441" i="4"/>
  <c r="D441" i="4"/>
  <c r="B441" i="4"/>
  <c r="N440" i="4"/>
  <c r="L440" i="4"/>
  <c r="J440" i="4"/>
  <c r="H440" i="4"/>
  <c r="F440" i="4"/>
  <c r="D440" i="4"/>
  <c r="B440" i="4"/>
  <c r="L433" i="4"/>
  <c r="J433" i="4"/>
  <c r="H433" i="4"/>
  <c r="F433" i="4"/>
  <c r="D433" i="4"/>
  <c r="N432" i="4"/>
  <c r="L432" i="4"/>
  <c r="J432" i="4"/>
  <c r="H432" i="4"/>
  <c r="F432" i="4"/>
  <c r="D432" i="4"/>
  <c r="B432" i="4"/>
  <c r="N431" i="4"/>
  <c r="L431" i="4"/>
  <c r="J431" i="4"/>
  <c r="H431" i="4"/>
  <c r="F431" i="4"/>
  <c r="D431" i="4"/>
  <c r="B431" i="4"/>
  <c r="F519" i="4"/>
  <c r="D519" i="4"/>
  <c r="F518" i="4"/>
  <c r="D518" i="4"/>
  <c r="B518" i="4"/>
  <c r="F517" i="4"/>
  <c r="D517" i="4"/>
  <c r="B517" i="4"/>
  <c r="L510" i="4"/>
  <c r="J510" i="4"/>
  <c r="H510" i="4"/>
  <c r="F510" i="4"/>
  <c r="D510" i="4"/>
  <c r="N509" i="4"/>
  <c r="L509" i="4"/>
  <c r="J509" i="4"/>
  <c r="H509" i="4"/>
  <c r="F509" i="4"/>
  <c r="D509" i="4"/>
  <c r="B509" i="4"/>
  <c r="N508" i="4"/>
  <c r="L508" i="4"/>
  <c r="J508" i="4"/>
  <c r="H508" i="4"/>
  <c r="F508" i="4"/>
  <c r="D508" i="4"/>
  <c r="B508" i="4"/>
  <c r="L501" i="4"/>
  <c r="J501" i="4"/>
  <c r="H501" i="4"/>
  <c r="F501" i="4"/>
  <c r="D501" i="4"/>
  <c r="N500" i="4"/>
  <c r="L500" i="4"/>
  <c r="J500" i="4"/>
  <c r="H500" i="4"/>
  <c r="F500" i="4"/>
  <c r="D500" i="4"/>
  <c r="B500" i="4"/>
  <c r="N499" i="4"/>
  <c r="L499" i="4"/>
  <c r="J499" i="4"/>
  <c r="H499" i="4"/>
  <c r="F499" i="4"/>
  <c r="D499" i="4"/>
  <c r="B499" i="4"/>
  <c r="L492" i="4"/>
  <c r="J492" i="4"/>
  <c r="H492" i="4"/>
  <c r="F492" i="4"/>
  <c r="D492" i="4"/>
  <c r="N491" i="4"/>
  <c r="L491" i="4"/>
  <c r="J491" i="4"/>
  <c r="H491" i="4"/>
  <c r="F491" i="4"/>
  <c r="D491" i="4"/>
  <c r="B491" i="4"/>
  <c r="N490" i="4"/>
  <c r="L490" i="4"/>
  <c r="J490" i="4"/>
  <c r="H490" i="4"/>
  <c r="F490" i="4"/>
  <c r="D490" i="4"/>
  <c r="B490" i="4"/>
  <c r="L483" i="4"/>
  <c r="J483" i="4"/>
  <c r="H483" i="4"/>
  <c r="N482" i="4"/>
  <c r="L482" i="4"/>
  <c r="J482" i="4"/>
  <c r="H482" i="4"/>
  <c r="N481" i="4"/>
  <c r="L481" i="4"/>
  <c r="J481" i="4"/>
  <c r="H481" i="4"/>
  <c r="L578" i="4"/>
  <c r="J578" i="4"/>
  <c r="H578" i="4"/>
  <c r="F578" i="4"/>
  <c r="D578" i="4"/>
  <c r="L577" i="4"/>
  <c r="J577" i="4"/>
  <c r="H577" i="4"/>
  <c r="F577" i="4"/>
  <c r="D577" i="4"/>
  <c r="B577" i="4"/>
  <c r="L576" i="4"/>
  <c r="J576" i="4"/>
  <c r="H576" i="4"/>
  <c r="F576" i="4"/>
  <c r="D576" i="4"/>
  <c r="B576" i="4"/>
  <c r="L569" i="4"/>
  <c r="J569" i="4"/>
  <c r="H569" i="4"/>
  <c r="F569" i="4"/>
  <c r="D569" i="4"/>
  <c r="N568" i="4"/>
  <c r="L568" i="4"/>
  <c r="J568" i="4"/>
  <c r="H568" i="4"/>
  <c r="F568" i="4"/>
  <c r="D568" i="4"/>
  <c r="B568" i="4"/>
  <c r="N567" i="4"/>
  <c r="L567" i="4"/>
  <c r="J567" i="4"/>
  <c r="H567" i="4"/>
  <c r="F567" i="4"/>
  <c r="D567" i="4"/>
  <c r="B567" i="4"/>
  <c r="L560" i="4"/>
  <c r="J560" i="4"/>
  <c r="H560" i="4"/>
  <c r="F560" i="4"/>
  <c r="D560" i="4"/>
  <c r="N559" i="4"/>
  <c r="L559" i="4"/>
  <c r="J559" i="4"/>
  <c r="H559" i="4"/>
  <c r="F559" i="4"/>
  <c r="D559" i="4"/>
  <c r="B559" i="4"/>
  <c r="N558" i="4"/>
  <c r="L558" i="4"/>
  <c r="J558" i="4"/>
  <c r="H558" i="4"/>
  <c r="F558" i="4"/>
  <c r="D558" i="4"/>
  <c r="B558" i="4"/>
  <c r="L551" i="4"/>
  <c r="J551" i="4"/>
  <c r="H551" i="4"/>
  <c r="F551" i="4"/>
  <c r="D551" i="4"/>
  <c r="N550" i="4"/>
  <c r="L550" i="4"/>
  <c r="J550" i="4"/>
  <c r="H550" i="4"/>
  <c r="F550" i="4"/>
  <c r="D550" i="4"/>
  <c r="B550" i="4"/>
  <c r="N549" i="4"/>
  <c r="L549" i="4"/>
  <c r="J549" i="4"/>
  <c r="H549" i="4"/>
  <c r="F549" i="4"/>
  <c r="D549" i="4"/>
  <c r="B549" i="4"/>
  <c r="L542" i="4"/>
  <c r="N541" i="4"/>
  <c r="L541" i="4"/>
  <c r="N540" i="4"/>
  <c r="L540" i="4"/>
  <c r="K649" i="4"/>
  <c r="I649" i="4"/>
  <c r="G649" i="4"/>
  <c r="D637" i="4"/>
  <c r="D636" i="4"/>
  <c r="B636" i="4"/>
  <c r="D635" i="4"/>
  <c r="B635" i="4"/>
  <c r="L628" i="4"/>
  <c r="J628" i="4"/>
  <c r="H628" i="4"/>
  <c r="F628" i="4"/>
  <c r="D628" i="4"/>
  <c r="N627" i="4"/>
  <c r="L627" i="4"/>
  <c r="J627" i="4"/>
  <c r="H627" i="4"/>
  <c r="F627" i="4"/>
  <c r="D627" i="4"/>
  <c r="B627" i="4"/>
  <c r="N626" i="4"/>
  <c r="L626" i="4"/>
  <c r="J626" i="4"/>
  <c r="H626" i="4"/>
  <c r="F626" i="4"/>
  <c r="D626" i="4"/>
  <c r="B626" i="4"/>
  <c r="L619" i="4"/>
  <c r="J619" i="4"/>
  <c r="H619" i="4"/>
  <c r="F619" i="4"/>
  <c r="D619" i="4"/>
  <c r="N618" i="4"/>
  <c r="L618" i="4"/>
  <c r="J618" i="4"/>
  <c r="H618" i="4"/>
  <c r="F618" i="4"/>
  <c r="D618" i="4"/>
  <c r="B618" i="4"/>
  <c r="N617" i="4"/>
  <c r="L617" i="4"/>
  <c r="J617" i="4"/>
  <c r="H617" i="4"/>
  <c r="F617" i="4"/>
  <c r="D617" i="4"/>
  <c r="B617" i="4"/>
  <c r="L610" i="4"/>
  <c r="J610" i="4"/>
  <c r="H610" i="4"/>
  <c r="F610" i="4"/>
  <c r="D610" i="4"/>
  <c r="N609" i="4"/>
  <c r="L609" i="4"/>
  <c r="J609" i="4"/>
  <c r="H609" i="4"/>
  <c r="F609" i="4"/>
  <c r="D609" i="4"/>
  <c r="B609" i="4"/>
  <c r="N608" i="4"/>
  <c r="L608" i="4"/>
  <c r="J608" i="4"/>
  <c r="H608" i="4"/>
  <c r="F608" i="4"/>
  <c r="D608" i="4"/>
  <c r="B608" i="4"/>
  <c r="N600" i="4"/>
  <c r="N599" i="4"/>
  <c r="H696" i="4"/>
  <c r="F696" i="4"/>
  <c r="D696" i="4"/>
  <c r="H695" i="4"/>
  <c r="F695" i="4"/>
  <c r="D695" i="4"/>
  <c r="B695" i="4"/>
  <c r="H694" i="4"/>
  <c r="F694" i="4"/>
  <c r="D694" i="4"/>
  <c r="B694" i="4"/>
  <c r="L687" i="4"/>
  <c r="J687" i="4"/>
  <c r="H687" i="4"/>
  <c r="F687" i="4"/>
  <c r="D687" i="4"/>
  <c r="N686" i="4"/>
  <c r="L686" i="4"/>
  <c r="J686" i="4"/>
  <c r="H686" i="4"/>
  <c r="F686" i="4"/>
  <c r="D686" i="4"/>
  <c r="B686" i="4"/>
  <c r="N685" i="4"/>
  <c r="L685" i="4"/>
  <c r="J685" i="4"/>
  <c r="H685" i="4"/>
  <c r="F685" i="4"/>
  <c r="D685" i="4"/>
  <c r="B685" i="4"/>
  <c r="L678" i="4"/>
  <c r="J678" i="4"/>
  <c r="H678" i="4"/>
  <c r="F678" i="4"/>
  <c r="D678" i="4"/>
  <c r="N677" i="4"/>
  <c r="L677" i="4"/>
  <c r="J677" i="4"/>
  <c r="H677" i="4"/>
  <c r="F677" i="4"/>
  <c r="D677" i="4"/>
  <c r="B677" i="4"/>
  <c r="N676" i="4"/>
  <c r="L676" i="4"/>
  <c r="J676" i="4"/>
  <c r="H676" i="4"/>
  <c r="F676" i="4"/>
  <c r="D676" i="4"/>
  <c r="B676" i="4"/>
  <c r="L669" i="4"/>
  <c r="H669" i="4"/>
  <c r="F669" i="4"/>
  <c r="D669" i="4"/>
  <c r="N668" i="4"/>
  <c r="L668" i="4"/>
  <c r="H668" i="4"/>
  <c r="F668" i="4"/>
  <c r="D668" i="4"/>
  <c r="B668" i="4"/>
  <c r="N667" i="4"/>
  <c r="L667" i="4"/>
  <c r="H667" i="4"/>
  <c r="F667" i="4"/>
  <c r="D667" i="4"/>
  <c r="B667" i="4"/>
  <c r="L660" i="4"/>
  <c r="J660" i="4"/>
  <c r="H660" i="4"/>
  <c r="N659" i="4"/>
  <c r="L659" i="4"/>
  <c r="J659" i="4"/>
  <c r="H659" i="4"/>
  <c r="N658" i="4"/>
  <c r="L658" i="4"/>
  <c r="J658" i="4"/>
  <c r="H658" i="4"/>
  <c r="C663" i="4"/>
  <c r="H706" i="3"/>
  <c r="F706" i="3"/>
  <c r="D706" i="3"/>
  <c r="B706" i="3"/>
  <c r="H705" i="3"/>
  <c r="F705" i="3"/>
  <c r="D705" i="3"/>
  <c r="B705" i="3"/>
  <c r="L698" i="3"/>
  <c r="J698" i="3"/>
  <c r="H698" i="3"/>
  <c r="F698" i="3"/>
  <c r="D698" i="3"/>
  <c r="N697" i="3"/>
  <c r="L697" i="3"/>
  <c r="J697" i="3"/>
  <c r="H697" i="3"/>
  <c r="F697" i="3"/>
  <c r="D697" i="3"/>
  <c r="B697" i="3"/>
  <c r="N696" i="3"/>
  <c r="L696" i="3"/>
  <c r="J696" i="3"/>
  <c r="H696" i="3"/>
  <c r="F696" i="3"/>
  <c r="D696" i="3"/>
  <c r="B696" i="3"/>
  <c r="L689" i="3"/>
  <c r="J689" i="3"/>
  <c r="H689" i="3"/>
  <c r="F689" i="3"/>
  <c r="D689" i="3"/>
  <c r="N688" i="3"/>
  <c r="L688" i="3"/>
  <c r="J688" i="3"/>
  <c r="H688" i="3"/>
  <c r="F688" i="3"/>
  <c r="D688" i="3"/>
  <c r="B688" i="3"/>
  <c r="N687" i="3"/>
  <c r="L687" i="3"/>
  <c r="J687" i="3"/>
  <c r="H687" i="3"/>
  <c r="F687" i="3"/>
  <c r="D687" i="3"/>
  <c r="B687" i="3"/>
  <c r="L680" i="3"/>
  <c r="J680" i="3"/>
  <c r="H680" i="3"/>
  <c r="F680" i="3"/>
  <c r="D680" i="3"/>
  <c r="N679" i="3"/>
  <c r="L679" i="3"/>
  <c r="J679" i="3"/>
  <c r="H679" i="3"/>
  <c r="F679" i="3"/>
  <c r="D679" i="3"/>
  <c r="B679" i="3"/>
  <c r="N678" i="3"/>
  <c r="L678" i="3"/>
  <c r="J678" i="3"/>
  <c r="H678" i="3"/>
  <c r="F678" i="3"/>
  <c r="D678" i="3"/>
  <c r="B678" i="3"/>
  <c r="L671" i="3"/>
  <c r="J671" i="3"/>
  <c r="H671" i="3"/>
  <c r="N670" i="3"/>
  <c r="L670" i="3"/>
  <c r="J670" i="3"/>
  <c r="H670" i="3"/>
  <c r="N669" i="3"/>
  <c r="L669" i="3"/>
  <c r="J669" i="3"/>
  <c r="H669" i="3"/>
  <c r="D647" i="3"/>
  <c r="D646" i="3"/>
  <c r="B646" i="3"/>
  <c r="D645" i="3"/>
  <c r="B645" i="3"/>
  <c r="L638" i="3"/>
  <c r="J638" i="3"/>
  <c r="H638" i="3"/>
  <c r="F638" i="3"/>
  <c r="D638" i="3"/>
  <c r="N637" i="3"/>
  <c r="L637" i="3"/>
  <c r="J637" i="3"/>
  <c r="H637" i="3"/>
  <c r="F637" i="3"/>
  <c r="D637" i="3"/>
  <c r="B637" i="3"/>
  <c r="N636" i="3"/>
  <c r="L636" i="3"/>
  <c r="J636" i="3"/>
  <c r="H636" i="3"/>
  <c r="F636" i="3"/>
  <c r="D636" i="3"/>
  <c r="B636" i="3"/>
  <c r="L629" i="3"/>
  <c r="J629" i="3"/>
  <c r="H629" i="3"/>
  <c r="F629" i="3"/>
  <c r="D629" i="3"/>
  <c r="N628" i="3"/>
  <c r="L628" i="3"/>
  <c r="J628" i="3"/>
  <c r="H628" i="3"/>
  <c r="F628" i="3"/>
  <c r="D628" i="3"/>
  <c r="B628" i="3"/>
  <c r="N627" i="3"/>
  <c r="L627" i="3"/>
  <c r="J627" i="3"/>
  <c r="H627" i="3"/>
  <c r="F627" i="3"/>
  <c r="D627" i="3"/>
  <c r="B627" i="3"/>
  <c r="L620" i="3"/>
  <c r="J620" i="3"/>
  <c r="H620" i="3"/>
  <c r="F620" i="3"/>
  <c r="D620" i="3"/>
  <c r="N619" i="3"/>
  <c r="L619" i="3"/>
  <c r="J619" i="3"/>
  <c r="H619" i="3"/>
  <c r="F619" i="3"/>
  <c r="D619" i="3"/>
  <c r="B619" i="3"/>
  <c r="N618" i="3"/>
  <c r="L618" i="3"/>
  <c r="J618" i="3"/>
  <c r="H618" i="3"/>
  <c r="F618" i="3"/>
  <c r="D618" i="3"/>
  <c r="B618" i="3"/>
  <c r="N610" i="3"/>
  <c r="N609" i="3"/>
  <c r="L587" i="3"/>
  <c r="J587" i="3"/>
  <c r="H587" i="3"/>
  <c r="F587" i="3"/>
  <c r="D587" i="3"/>
  <c r="L586" i="3"/>
  <c r="J586" i="3"/>
  <c r="H586" i="3"/>
  <c r="F586" i="3"/>
  <c r="D586" i="3"/>
  <c r="B586" i="3"/>
  <c r="L585" i="3"/>
  <c r="J585" i="3"/>
  <c r="H585" i="3"/>
  <c r="F585" i="3"/>
  <c r="D585" i="3"/>
  <c r="B585" i="3"/>
  <c r="L578" i="3"/>
  <c r="J578" i="3"/>
  <c r="H578" i="3"/>
  <c r="F578" i="3"/>
  <c r="D578" i="3"/>
  <c r="N577" i="3"/>
  <c r="L577" i="3"/>
  <c r="J577" i="3"/>
  <c r="H577" i="3"/>
  <c r="F577" i="3"/>
  <c r="D577" i="3"/>
  <c r="B577" i="3"/>
  <c r="N576" i="3"/>
  <c r="L576" i="3"/>
  <c r="J576" i="3"/>
  <c r="H576" i="3"/>
  <c r="F576" i="3"/>
  <c r="D576" i="3"/>
  <c r="B576" i="3"/>
  <c r="L569" i="3"/>
  <c r="J569" i="3"/>
  <c r="H569" i="3"/>
  <c r="F569" i="3"/>
  <c r="D569" i="3"/>
  <c r="N568" i="3"/>
  <c r="L568" i="3"/>
  <c r="J568" i="3"/>
  <c r="H568" i="3"/>
  <c r="F568" i="3"/>
  <c r="D568" i="3"/>
  <c r="B568" i="3"/>
  <c r="N567" i="3"/>
  <c r="L567" i="3"/>
  <c r="J567" i="3"/>
  <c r="H567" i="3"/>
  <c r="F567" i="3"/>
  <c r="D567" i="3"/>
  <c r="B567" i="3"/>
  <c r="L560" i="3"/>
  <c r="J560" i="3"/>
  <c r="H560" i="3"/>
  <c r="F560" i="3"/>
  <c r="D560" i="3"/>
  <c r="N559" i="3"/>
  <c r="L559" i="3"/>
  <c r="J559" i="3"/>
  <c r="H559" i="3"/>
  <c r="F559" i="3"/>
  <c r="D559" i="3"/>
  <c r="B559" i="3"/>
  <c r="N558" i="3"/>
  <c r="L558" i="3"/>
  <c r="J558" i="3"/>
  <c r="H558" i="3"/>
  <c r="F558" i="3"/>
  <c r="D558" i="3"/>
  <c r="B558" i="3"/>
  <c r="L551" i="3"/>
  <c r="N550" i="3"/>
  <c r="L550" i="3"/>
  <c r="N549" i="3"/>
  <c r="L549" i="3"/>
  <c r="F527" i="3"/>
  <c r="D527" i="3"/>
  <c r="F526" i="3"/>
  <c r="D526" i="3"/>
  <c r="B526" i="3"/>
  <c r="F525" i="3"/>
  <c r="D525" i="3"/>
  <c r="B525" i="3"/>
  <c r="L518" i="3"/>
  <c r="J518" i="3"/>
  <c r="H518" i="3"/>
  <c r="F518" i="3"/>
  <c r="D518" i="3"/>
  <c r="N517" i="3"/>
  <c r="L517" i="3"/>
  <c r="J517" i="3"/>
  <c r="H517" i="3"/>
  <c r="F517" i="3"/>
  <c r="D517" i="3"/>
  <c r="B517" i="3"/>
  <c r="N516" i="3"/>
  <c r="L516" i="3"/>
  <c r="J516" i="3"/>
  <c r="H516" i="3"/>
  <c r="F516" i="3"/>
  <c r="D516" i="3"/>
  <c r="B516" i="3"/>
  <c r="L509" i="3"/>
  <c r="J509" i="3"/>
  <c r="H509" i="3"/>
  <c r="F509" i="3"/>
  <c r="D509" i="3"/>
  <c r="N508" i="3"/>
  <c r="L508" i="3"/>
  <c r="J508" i="3"/>
  <c r="H508" i="3"/>
  <c r="F508" i="3"/>
  <c r="D508" i="3"/>
  <c r="B508" i="3"/>
  <c r="N507" i="3"/>
  <c r="L507" i="3"/>
  <c r="J507" i="3"/>
  <c r="H507" i="3"/>
  <c r="F507" i="3"/>
  <c r="D507" i="3"/>
  <c r="B507" i="3"/>
  <c r="L500" i="3"/>
  <c r="J500" i="3"/>
  <c r="H500" i="3"/>
  <c r="F500" i="3"/>
  <c r="D500" i="3"/>
  <c r="N499" i="3"/>
  <c r="L499" i="3"/>
  <c r="J499" i="3"/>
  <c r="H499" i="3"/>
  <c r="F499" i="3"/>
  <c r="D499" i="3"/>
  <c r="B499" i="3"/>
  <c r="N498" i="3"/>
  <c r="L498" i="3"/>
  <c r="J498" i="3"/>
  <c r="H498" i="3"/>
  <c r="F498" i="3"/>
  <c r="D498" i="3"/>
  <c r="B498" i="3"/>
  <c r="L491" i="3"/>
  <c r="J491" i="3"/>
  <c r="H491" i="3"/>
  <c r="N490" i="3"/>
  <c r="L490" i="3"/>
  <c r="J490" i="3"/>
  <c r="H490" i="3"/>
  <c r="N489" i="3"/>
  <c r="L489" i="3"/>
  <c r="J489" i="3"/>
  <c r="H489" i="3"/>
  <c r="D467" i="3"/>
  <c r="D466" i="3"/>
  <c r="B466" i="3"/>
  <c r="D465" i="3"/>
  <c r="B465" i="3"/>
  <c r="L458" i="3"/>
  <c r="J458" i="3"/>
  <c r="H458" i="3"/>
  <c r="F458" i="3"/>
  <c r="D458" i="3"/>
  <c r="N457" i="3"/>
  <c r="L457" i="3"/>
  <c r="J457" i="3"/>
  <c r="H457" i="3"/>
  <c r="F457" i="3"/>
  <c r="D457" i="3"/>
  <c r="B457" i="3"/>
  <c r="N456" i="3"/>
  <c r="L456" i="3"/>
  <c r="J456" i="3"/>
  <c r="H456" i="3"/>
  <c r="F456" i="3"/>
  <c r="D456" i="3"/>
  <c r="B456" i="3"/>
  <c r="L449" i="3"/>
  <c r="J449" i="3"/>
  <c r="H449" i="3"/>
  <c r="F449" i="3"/>
  <c r="D449" i="3"/>
  <c r="N448" i="3"/>
  <c r="L448" i="3"/>
  <c r="J448" i="3"/>
  <c r="H448" i="3"/>
  <c r="F448" i="3"/>
  <c r="D448" i="3"/>
  <c r="B448" i="3"/>
  <c r="N447" i="3"/>
  <c r="L447" i="3"/>
  <c r="J447" i="3"/>
  <c r="H447" i="3"/>
  <c r="F447" i="3"/>
  <c r="D447" i="3"/>
  <c r="B447" i="3"/>
  <c r="L440" i="3"/>
  <c r="J440" i="3"/>
  <c r="H440" i="3"/>
  <c r="F440" i="3"/>
  <c r="D440" i="3"/>
  <c r="N439" i="3"/>
  <c r="L439" i="3"/>
  <c r="J439" i="3"/>
  <c r="H439" i="3"/>
  <c r="F439" i="3"/>
  <c r="D439" i="3"/>
  <c r="B439" i="3"/>
  <c r="N438" i="3"/>
  <c r="L438" i="3"/>
  <c r="J438" i="3"/>
  <c r="H438" i="3"/>
  <c r="F438" i="3"/>
  <c r="D438" i="3"/>
  <c r="B438" i="3"/>
  <c r="J407" i="3"/>
  <c r="H407" i="3"/>
  <c r="F407" i="3"/>
  <c r="D407" i="3"/>
  <c r="J406" i="3"/>
  <c r="H406" i="3"/>
  <c r="F406" i="3"/>
  <c r="D406" i="3"/>
  <c r="B406" i="3"/>
  <c r="J405" i="3"/>
  <c r="H405" i="3"/>
  <c r="F405" i="3"/>
  <c r="D405" i="3"/>
  <c r="B405" i="3"/>
  <c r="L389" i="3"/>
  <c r="J389" i="3"/>
  <c r="H389" i="3"/>
  <c r="F389" i="3"/>
  <c r="D389" i="3"/>
  <c r="N388" i="3"/>
  <c r="L388" i="3"/>
  <c r="J388" i="3"/>
  <c r="H388" i="3"/>
  <c r="F388" i="3"/>
  <c r="D388" i="3"/>
  <c r="B388" i="3"/>
  <c r="N387" i="3"/>
  <c r="L387" i="3"/>
  <c r="J387" i="3"/>
  <c r="H387" i="3"/>
  <c r="F387" i="3"/>
  <c r="D387" i="3"/>
  <c r="B387" i="3"/>
  <c r="L380" i="3"/>
  <c r="J380" i="3"/>
  <c r="H380" i="3"/>
  <c r="F380" i="3"/>
  <c r="D380" i="3"/>
  <c r="N379" i="3"/>
  <c r="L379" i="3"/>
  <c r="J379" i="3"/>
  <c r="H379" i="3"/>
  <c r="F379" i="3"/>
  <c r="D379" i="3"/>
  <c r="B379" i="3"/>
  <c r="N378" i="3"/>
  <c r="L378" i="3"/>
  <c r="J378" i="3"/>
  <c r="H378" i="3"/>
  <c r="F378" i="3"/>
  <c r="D378" i="3"/>
  <c r="B378" i="3"/>
  <c r="L371" i="3"/>
  <c r="J371" i="3"/>
  <c r="N370" i="3"/>
  <c r="L370" i="3"/>
  <c r="J370" i="3"/>
  <c r="N369" i="3"/>
  <c r="L369" i="3"/>
  <c r="J369" i="3"/>
  <c r="D347" i="3"/>
  <c r="D346" i="3"/>
  <c r="B346" i="3"/>
  <c r="D345" i="3"/>
  <c r="B345" i="3"/>
  <c r="L338" i="3"/>
  <c r="J338" i="3"/>
  <c r="H338" i="3"/>
  <c r="F338" i="3"/>
  <c r="D338" i="3"/>
  <c r="N337" i="3"/>
  <c r="L337" i="3"/>
  <c r="J337" i="3"/>
  <c r="H337" i="3"/>
  <c r="F337" i="3"/>
  <c r="D337" i="3"/>
  <c r="B337" i="3"/>
  <c r="N336" i="3"/>
  <c r="L336" i="3"/>
  <c r="J336" i="3"/>
  <c r="H336" i="3"/>
  <c r="F336" i="3"/>
  <c r="D336" i="3"/>
  <c r="B336" i="3"/>
  <c r="L329" i="3"/>
  <c r="J329" i="3"/>
  <c r="H329" i="3"/>
  <c r="F329" i="3"/>
  <c r="D329" i="3"/>
  <c r="N328" i="3"/>
  <c r="L328" i="3"/>
  <c r="J328" i="3"/>
  <c r="H328" i="3"/>
  <c r="F328" i="3"/>
  <c r="D328" i="3"/>
  <c r="B328" i="3"/>
  <c r="N327" i="3"/>
  <c r="L327" i="3"/>
  <c r="J327" i="3"/>
  <c r="H327" i="3"/>
  <c r="F327" i="3"/>
  <c r="D327" i="3"/>
  <c r="B327" i="3"/>
  <c r="L320" i="3"/>
  <c r="J320" i="3"/>
  <c r="H320" i="3"/>
  <c r="F320" i="3"/>
  <c r="D320" i="3"/>
  <c r="N319" i="3"/>
  <c r="L319" i="3"/>
  <c r="J319" i="3"/>
  <c r="H319" i="3"/>
  <c r="F319" i="3"/>
  <c r="D319" i="3"/>
  <c r="B319" i="3"/>
  <c r="N318" i="3"/>
  <c r="L318" i="3"/>
  <c r="J318" i="3"/>
  <c r="H318" i="3"/>
  <c r="F318" i="3"/>
  <c r="D318" i="3"/>
  <c r="B318" i="3"/>
  <c r="L311" i="3"/>
  <c r="J311" i="3"/>
  <c r="H311" i="3"/>
  <c r="F311" i="3"/>
  <c r="N310" i="3"/>
  <c r="L310" i="3"/>
  <c r="J310" i="3"/>
  <c r="H310" i="3"/>
  <c r="F310" i="3"/>
  <c r="N309" i="3"/>
  <c r="L309" i="3"/>
  <c r="J309" i="3"/>
  <c r="H309" i="3"/>
  <c r="F309" i="3"/>
  <c r="L287" i="3"/>
  <c r="J287" i="3"/>
  <c r="H287" i="3"/>
  <c r="F287" i="3"/>
  <c r="D287" i="3"/>
  <c r="N286" i="3"/>
  <c r="L286" i="3"/>
  <c r="J286" i="3"/>
  <c r="H286" i="3"/>
  <c r="F286" i="3"/>
  <c r="D286" i="3"/>
  <c r="B286" i="3"/>
  <c r="N285" i="3"/>
  <c r="L285" i="3"/>
  <c r="J285" i="3"/>
  <c r="H285" i="3"/>
  <c r="F285" i="3"/>
  <c r="D285" i="3"/>
  <c r="B285" i="3"/>
  <c r="L278" i="3"/>
  <c r="J278" i="3"/>
  <c r="H278" i="3"/>
  <c r="F278" i="3"/>
  <c r="D278" i="3"/>
  <c r="N277" i="3"/>
  <c r="L277" i="3"/>
  <c r="J277" i="3"/>
  <c r="H277" i="3"/>
  <c r="F277" i="3"/>
  <c r="D277" i="3"/>
  <c r="B277" i="3"/>
  <c r="N276" i="3"/>
  <c r="L276" i="3"/>
  <c r="J276" i="3"/>
  <c r="H276" i="3"/>
  <c r="F276" i="3"/>
  <c r="D276" i="3"/>
  <c r="B276" i="3"/>
  <c r="L269" i="3"/>
  <c r="J269" i="3"/>
  <c r="H269" i="3"/>
  <c r="F269" i="3"/>
  <c r="D269" i="3"/>
  <c r="N268" i="3"/>
  <c r="L268" i="3"/>
  <c r="J268" i="3"/>
  <c r="H268" i="3"/>
  <c r="F268" i="3"/>
  <c r="D268" i="3"/>
  <c r="B268" i="3"/>
  <c r="N267" i="3"/>
  <c r="L267" i="3"/>
  <c r="J267" i="3"/>
  <c r="H267" i="3"/>
  <c r="F267" i="3"/>
  <c r="D267" i="3"/>
  <c r="B267" i="3"/>
  <c r="L260" i="3"/>
  <c r="J260" i="3"/>
  <c r="H260" i="3"/>
  <c r="F260" i="3"/>
  <c r="D260" i="3"/>
  <c r="N259" i="3"/>
  <c r="L259" i="3"/>
  <c r="J259" i="3"/>
  <c r="H259" i="3"/>
  <c r="F259" i="3"/>
  <c r="D259" i="3"/>
  <c r="B259" i="3"/>
  <c r="N258" i="3"/>
  <c r="L258" i="3"/>
  <c r="J258" i="3"/>
  <c r="H258" i="3"/>
  <c r="F258" i="3"/>
  <c r="D258" i="3"/>
  <c r="B258" i="3"/>
  <c r="N250" i="3"/>
  <c r="N249" i="3"/>
  <c r="H227" i="3"/>
  <c r="F227" i="3"/>
  <c r="D227" i="3"/>
  <c r="H226" i="3"/>
  <c r="F226" i="3"/>
  <c r="D226" i="3"/>
  <c r="B226" i="3"/>
  <c r="H225" i="3"/>
  <c r="F225" i="3"/>
  <c r="D225" i="3"/>
  <c r="B225" i="3"/>
  <c r="L218" i="3"/>
  <c r="J218" i="3"/>
  <c r="H218" i="3"/>
  <c r="F218" i="3"/>
  <c r="D218" i="3"/>
  <c r="N217" i="3"/>
  <c r="L217" i="3"/>
  <c r="J217" i="3"/>
  <c r="H217" i="3"/>
  <c r="F217" i="3"/>
  <c r="D217" i="3"/>
  <c r="B217" i="3"/>
  <c r="N216" i="3"/>
  <c r="L216" i="3"/>
  <c r="J216" i="3"/>
  <c r="H216" i="3"/>
  <c r="F216" i="3"/>
  <c r="D216" i="3"/>
  <c r="B216" i="3"/>
  <c r="L209" i="3"/>
  <c r="J209" i="3"/>
  <c r="H209" i="3"/>
  <c r="F209" i="3"/>
  <c r="D209" i="3"/>
  <c r="N208" i="3"/>
  <c r="L208" i="3"/>
  <c r="J208" i="3"/>
  <c r="H208" i="3"/>
  <c r="F208" i="3"/>
  <c r="D208" i="3"/>
  <c r="B208" i="3"/>
  <c r="N207" i="3"/>
  <c r="L207" i="3"/>
  <c r="J207" i="3"/>
  <c r="H207" i="3"/>
  <c r="F207" i="3"/>
  <c r="D207" i="3"/>
  <c r="B207" i="3"/>
  <c r="L200" i="3"/>
  <c r="J200" i="3"/>
  <c r="H200" i="3"/>
  <c r="F200" i="3"/>
  <c r="D200" i="3"/>
  <c r="N199" i="3"/>
  <c r="L199" i="3"/>
  <c r="J199" i="3"/>
  <c r="H199" i="3"/>
  <c r="F199" i="3"/>
  <c r="D199" i="3"/>
  <c r="B199" i="3"/>
  <c r="N198" i="3"/>
  <c r="L198" i="3"/>
  <c r="J198" i="3"/>
  <c r="H198" i="3"/>
  <c r="F198" i="3"/>
  <c r="D198" i="3"/>
  <c r="B198" i="3"/>
  <c r="L191" i="3"/>
  <c r="J191" i="3"/>
  <c r="N190" i="3"/>
  <c r="L190" i="3"/>
  <c r="J190" i="3"/>
  <c r="N189" i="3"/>
  <c r="L189" i="3"/>
  <c r="J189" i="3"/>
  <c r="F167" i="3"/>
  <c r="D167" i="3"/>
  <c r="F166" i="3"/>
  <c r="D166" i="3"/>
  <c r="B166" i="3"/>
  <c r="F165" i="3"/>
  <c r="D165" i="3"/>
  <c r="B165" i="3"/>
  <c r="L158" i="3"/>
  <c r="J158" i="3"/>
  <c r="H158" i="3"/>
  <c r="F158" i="3"/>
  <c r="D158" i="3"/>
  <c r="N157" i="3"/>
  <c r="L157" i="3"/>
  <c r="J157" i="3"/>
  <c r="H157" i="3"/>
  <c r="F157" i="3"/>
  <c r="D157" i="3"/>
  <c r="B157" i="3"/>
  <c r="N156" i="3"/>
  <c r="L156" i="3"/>
  <c r="J156" i="3"/>
  <c r="H156" i="3"/>
  <c r="F156" i="3"/>
  <c r="D156" i="3"/>
  <c r="B156" i="3"/>
  <c r="L149" i="3"/>
  <c r="J149" i="3"/>
  <c r="H149" i="3"/>
  <c r="F149" i="3"/>
  <c r="D149" i="3"/>
  <c r="N148" i="3"/>
  <c r="L148" i="3"/>
  <c r="J148" i="3"/>
  <c r="H148" i="3"/>
  <c r="F148" i="3"/>
  <c r="D148" i="3"/>
  <c r="B148" i="3"/>
  <c r="N147" i="3"/>
  <c r="L147" i="3"/>
  <c r="J147" i="3"/>
  <c r="H147" i="3"/>
  <c r="F147" i="3"/>
  <c r="D147" i="3"/>
  <c r="B147" i="3"/>
  <c r="L140" i="3"/>
  <c r="J140" i="3"/>
  <c r="H140" i="3"/>
  <c r="F140" i="3"/>
  <c r="D140" i="3"/>
  <c r="N139" i="3"/>
  <c r="L139" i="3"/>
  <c r="J139" i="3"/>
  <c r="H139" i="3"/>
  <c r="F139" i="3"/>
  <c r="D139" i="3"/>
  <c r="B139" i="3"/>
  <c r="N138" i="3"/>
  <c r="L138" i="3"/>
  <c r="J138" i="3"/>
  <c r="H138" i="3"/>
  <c r="F138" i="3"/>
  <c r="D138" i="3"/>
  <c r="B138" i="3"/>
  <c r="N130" i="3"/>
  <c r="N129" i="3"/>
  <c r="L98" i="3"/>
  <c r="J98" i="3"/>
  <c r="H98" i="3"/>
  <c r="F98" i="3"/>
  <c r="D98" i="3"/>
  <c r="N97" i="3"/>
  <c r="L97" i="3"/>
  <c r="J97" i="3"/>
  <c r="H97" i="3"/>
  <c r="F97" i="3"/>
  <c r="D97" i="3"/>
  <c r="B97" i="3"/>
  <c r="N96" i="3"/>
  <c r="L96" i="3"/>
  <c r="J96" i="3"/>
  <c r="H96" i="3"/>
  <c r="F96" i="3"/>
  <c r="D96" i="3"/>
  <c r="B96" i="3"/>
  <c r="L89" i="3"/>
  <c r="J89" i="3"/>
  <c r="H89" i="3"/>
  <c r="F89" i="3"/>
  <c r="D89" i="3"/>
  <c r="N88" i="3"/>
  <c r="L88" i="3"/>
  <c r="J88" i="3"/>
  <c r="H88" i="3"/>
  <c r="F88" i="3"/>
  <c r="D88" i="3"/>
  <c r="B88" i="3"/>
  <c r="N87" i="3"/>
  <c r="L87" i="3"/>
  <c r="J87" i="3"/>
  <c r="H87" i="3"/>
  <c r="F87" i="3"/>
  <c r="D87" i="3"/>
  <c r="B87" i="3"/>
  <c r="L80" i="3"/>
  <c r="J80" i="3"/>
  <c r="H80" i="3"/>
  <c r="F80" i="3"/>
  <c r="D80" i="3"/>
  <c r="N79" i="3"/>
  <c r="L79" i="3"/>
  <c r="J79" i="3"/>
  <c r="H79" i="3"/>
  <c r="F79" i="3"/>
  <c r="D79" i="3"/>
  <c r="B79" i="3"/>
  <c r="N78" i="3"/>
  <c r="L78" i="3"/>
  <c r="J78" i="3"/>
  <c r="H78" i="3"/>
  <c r="F78" i="3"/>
  <c r="D78" i="3"/>
  <c r="B78" i="3"/>
  <c r="L71" i="3"/>
  <c r="N70" i="3"/>
  <c r="L70" i="3"/>
  <c r="N69" i="3"/>
  <c r="L69" i="3"/>
  <c r="J47" i="3"/>
  <c r="H47" i="3"/>
  <c r="F47" i="3"/>
  <c r="D47" i="3"/>
  <c r="J46" i="3"/>
  <c r="H46" i="3"/>
  <c r="F46" i="3"/>
  <c r="D46" i="3"/>
  <c r="B46" i="3"/>
  <c r="J45" i="3"/>
  <c r="H45" i="3"/>
  <c r="F45" i="3"/>
  <c r="D45" i="3"/>
  <c r="B45" i="3"/>
  <c r="L38" i="3"/>
  <c r="J38" i="3"/>
  <c r="H38" i="3"/>
  <c r="F38" i="3"/>
  <c r="D38" i="3"/>
  <c r="N37" i="3"/>
  <c r="L37" i="3"/>
  <c r="J37" i="3"/>
  <c r="H37" i="3"/>
  <c r="F37" i="3"/>
  <c r="D37" i="3"/>
  <c r="B37" i="3"/>
  <c r="N36" i="3"/>
  <c r="L36" i="3"/>
  <c r="J36" i="3"/>
  <c r="H36" i="3"/>
  <c r="F36" i="3"/>
  <c r="D36" i="3"/>
  <c r="B36" i="3"/>
  <c r="L29" i="3"/>
  <c r="J29" i="3"/>
  <c r="H29" i="3"/>
  <c r="F29" i="3"/>
  <c r="D29" i="3"/>
  <c r="N28" i="3"/>
  <c r="L28" i="3"/>
  <c r="J28" i="3"/>
  <c r="H28" i="3"/>
  <c r="F28" i="3"/>
  <c r="D28" i="3"/>
  <c r="B28" i="3"/>
  <c r="N27" i="3"/>
  <c r="L27" i="3"/>
  <c r="J27" i="3"/>
  <c r="H27" i="3"/>
  <c r="F27" i="3"/>
  <c r="D27" i="3"/>
  <c r="B27" i="3"/>
  <c r="L20" i="3"/>
  <c r="J20" i="3"/>
  <c r="H20" i="3"/>
  <c r="F20" i="3"/>
  <c r="D20" i="3"/>
  <c r="N19" i="3"/>
  <c r="L19" i="3"/>
  <c r="J19" i="3"/>
  <c r="H19" i="3"/>
  <c r="F19" i="3"/>
  <c r="D19" i="3"/>
  <c r="B19" i="3"/>
  <c r="N18" i="3"/>
  <c r="L18" i="3"/>
  <c r="J18" i="3"/>
  <c r="H18" i="3"/>
  <c r="F18" i="3"/>
  <c r="D18" i="3"/>
  <c r="B18" i="3"/>
  <c r="L11" i="3"/>
  <c r="J11" i="3"/>
  <c r="N10" i="3"/>
  <c r="L10" i="3"/>
  <c r="J10" i="3"/>
  <c r="N9" i="3"/>
  <c r="L9" i="3"/>
  <c r="J9" i="3"/>
  <c r="O408" i="3" l="1"/>
  <c r="O432" i="3"/>
  <c r="O402" i="4"/>
  <c r="O425" i="4"/>
  <c r="M432" i="3"/>
  <c r="M225" i="4"/>
  <c r="M228" i="3"/>
  <c r="M697" i="4"/>
  <c r="M425" i="4"/>
  <c r="M708" i="3"/>
  <c r="K432" i="3"/>
  <c r="K528" i="3"/>
  <c r="K425" i="4"/>
  <c r="K520" i="4"/>
  <c r="I168" i="3"/>
  <c r="I343" i="4"/>
  <c r="I425" i="4"/>
  <c r="I348" i="3"/>
  <c r="I166" i="4"/>
  <c r="I432" i="3"/>
  <c r="G468" i="3"/>
  <c r="G432" i="3"/>
  <c r="G648" i="3"/>
  <c r="G638" i="4"/>
  <c r="G425" i="4"/>
  <c r="G461" i="4"/>
  <c r="E432" i="3"/>
  <c r="E425" i="4"/>
  <c r="E293" i="4"/>
  <c r="E297" i="3"/>
  <c r="C107" i="4"/>
  <c r="C588" i="4"/>
  <c r="C432" i="3"/>
  <c r="C108" i="3"/>
  <c r="C293" i="4"/>
  <c r="C57" i="4"/>
  <c r="C597" i="3"/>
  <c r="C425" i="4"/>
  <c r="C19" i="2"/>
  <c r="O40" i="4" s="1"/>
  <c r="C17" i="2"/>
  <c r="M401" i="4" s="1"/>
  <c r="O39" i="4"/>
  <c r="C16" i="2"/>
  <c r="C15" i="2"/>
  <c r="C298" i="3"/>
  <c r="K613" i="3"/>
  <c r="O589" i="3"/>
  <c r="G133" i="3"/>
  <c r="E613" i="3"/>
  <c r="M603" i="4"/>
  <c r="G613" i="3"/>
  <c r="K603" i="4"/>
  <c r="I133" i="3"/>
  <c r="O49" i="3"/>
  <c r="I613" i="3"/>
  <c r="G73" i="3"/>
  <c r="I529" i="3"/>
  <c r="I131" i="4"/>
  <c r="I521" i="4"/>
  <c r="G344" i="4"/>
  <c r="O580" i="4"/>
  <c r="M613" i="3"/>
  <c r="M409" i="3"/>
  <c r="G349" i="3"/>
  <c r="E133" i="3"/>
  <c r="G72" i="4"/>
  <c r="G131" i="4"/>
  <c r="I72" i="4"/>
  <c r="K698" i="4"/>
  <c r="K133" i="3"/>
  <c r="K73" i="3"/>
  <c r="K131" i="4"/>
  <c r="O308" i="4"/>
  <c r="C394" i="4"/>
  <c r="M485" i="4"/>
  <c r="G91" i="3"/>
  <c r="G22" i="4"/>
  <c r="K49" i="4"/>
  <c r="C167" i="4"/>
  <c r="K199" i="4"/>
  <c r="K217" i="4"/>
  <c r="G308" i="4"/>
  <c r="M689" i="4"/>
  <c r="C99" i="4"/>
  <c r="M544" i="4"/>
  <c r="K82" i="3"/>
  <c r="O13" i="4"/>
  <c r="I31" i="4"/>
  <c r="E81" i="4"/>
  <c r="K90" i="4"/>
  <c r="I308" i="4"/>
  <c r="C376" i="4"/>
  <c r="M453" i="4"/>
  <c r="O91" i="3"/>
  <c r="K160" i="3"/>
  <c r="C31" i="4"/>
  <c r="M90" i="4"/>
  <c r="C140" i="4"/>
  <c r="C158" i="4"/>
  <c r="K208" i="4"/>
  <c r="M621" i="4"/>
  <c r="I158" i="4"/>
  <c r="M217" i="4"/>
  <c r="C267" i="4"/>
  <c r="C285" i="4"/>
  <c r="E394" i="4"/>
  <c r="O435" i="4"/>
  <c r="G503" i="4"/>
  <c r="G521" i="4"/>
  <c r="I580" i="4"/>
  <c r="O621" i="4"/>
  <c r="O671" i="4"/>
  <c r="E31" i="3"/>
  <c r="M73" i="3"/>
  <c r="G317" i="4"/>
  <c r="G335" i="4"/>
  <c r="G376" i="4"/>
  <c r="E444" i="4"/>
  <c r="I503" i="4"/>
  <c r="C580" i="4"/>
  <c r="I621" i="4"/>
  <c r="M680" i="4"/>
  <c r="K40" i="3"/>
  <c r="O82" i="3"/>
  <c r="O100" i="3"/>
  <c r="I149" i="4"/>
  <c r="M190" i="4"/>
  <c r="I217" i="4"/>
  <c r="K276" i="4"/>
  <c r="M308" i="4"/>
  <c r="I335" i="4"/>
  <c r="K317" i="4"/>
  <c r="K403" i="4"/>
  <c r="M503" i="4"/>
  <c r="K142" i="3"/>
  <c r="G31" i="4"/>
  <c r="K81" i="4"/>
  <c r="G208" i="4"/>
  <c r="E226" i="4"/>
  <c r="E276" i="4"/>
  <c r="G698" i="4"/>
  <c r="G326" i="4"/>
  <c r="I444" i="4"/>
  <c r="C100" i="3"/>
  <c r="O31" i="4"/>
  <c r="M81" i="4"/>
  <c r="G99" i="4"/>
  <c r="I140" i="4"/>
  <c r="K671" i="4"/>
  <c r="E22" i="4"/>
  <c r="C317" i="4"/>
  <c r="O385" i="4"/>
  <c r="E503" i="4"/>
  <c r="K13" i="3"/>
  <c r="K100" i="3"/>
  <c r="C22" i="4"/>
  <c r="K31" i="4"/>
  <c r="G81" i="4"/>
  <c r="I99" i="4"/>
  <c r="K140" i="4"/>
  <c r="K158" i="4"/>
  <c r="G199" i="4"/>
  <c r="G217" i="4"/>
  <c r="E167" i="4"/>
  <c r="M199" i="4"/>
  <c r="G226" i="4"/>
  <c r="K267" i="4"/>
  <c r="K285" i="4"/>
  <c r="E335" i="4"/>
  <c r="E376" i="4"/>
  <c r="M394" i="4"/>
  <c r="C444" i="4"/>
  <c r="C462" i="4"/>
  <c r="O485" i="4"/>
  <c r="O503" i="4"/>
  <c r="O544" i="4"/>
  <c r="O562" i="4"/>
  <c r="C612" i="4"/>
  <c r="C639" i="4"/>
  <c r="C680" i="4"/>
  <c r="I698" i="4"/>
  <c r="M31" i="3"/>
  <c r="C82" i="3"/>
  <c r="I258" i="4"/>
  <c r="E285" i="4"/>
  <c r="O317" i="4"/>
  <c r="O335" i="4"/>
  <c r="O376" i="4"/>
  <c r="O394" i="4"/>
  <c r="M444" i="4"/>
  <c r="I485" i="4"/>
  <c r="E512" i="4"/>
  <c r="I562" i="4"/>
  <c r="K580" i="4"/>
  <c r="E639" i="4"/>
  <c r="I689" i="4"/>
  <c r="G31" i="3"/>
  <c r="C49" i="3"/>
  <c r="C91" i="3"/>
  <c r="G142" i="3"/>
  <c r="G160" i="3"/>
  <c r="E158" i="4"/>
  <c r="I199" i="4"/>
  <c r="C226" i="4"/>
  <c r="G267" i="4"/>
  <c r="G285" i="4"/>
  <c r="I317" i="4"/>
  <c r="M367" i="4"/>
  <c r="M72" i="4"/>
  <c r="O90" i="4"/>
  <c r="C335" i="4"/>
  <c r="E435" i="4"/>
  <c r="E521" i="4"/>
  <c r="C31" i="3"/>
  <c r="G151" i="3"/>
  <c r="C40" i="4"/>
  <c r="I90" i="4"/>
  <c r="G140" i="4"/>
  <c r="G158" i="4"/>
  <c r="O190" i="4"/>
  <c r="O208" i="4"/>
  <c r="E258" i="4"/>
  <c r="M276" i="4"/>
  <c r="I680" i="4"/>
  <c r="M31" i="4"/>
  <c r="O367" i="4"/>
  <c r="K22" i="3"/>
  <c r="O133" i="3"/>
  <c r="K40" i="4"/>
  <c r="I22" i="4"/>
  <c r="M40" i="4"/>
  <c r="O72" i="4"/>
  <c r="O99" i="4"/>
  <c r="O662" i="4"/>
  <c r="K662" i="4"/>
  <c r="I49" i="4"/>
  <c r="O326" i="4"/>
  <c r="C403" i="4"/>
  <c r="I512" i="4"/>
  <c r="O22" i="3"/>
  <c r="C142" i="3"/>
  <c r="K22" i="4"/>
  <c r="G40" i="4"/>
  <c r="O81" i="4"/>
  <c r="G149" i="4"/>
  <c r="G167" i="4"/>
  <c r="O199" i="4"/>
  <c r="I612" i="4"/>
  <c r="E149" i="4"/>
  <c r="I208" i="4"/>
  <c r="G258" i="4"/>
  <c r="G276" i="4"/>
  <c r="E317" i="4"/>
  <c r="M335" i="4"/>
  <c r="M376" i="4"/>
  <c r="E403" i="4"/>
  <c r="K444" i="4"/>
  <c r="C494" i="4"/>
  <c r="K376" i="4"/>
  <c r="G169" i="3"/>
  <c r="C199" i="4"/>
  <c r="E689" i="4"/>
  <c r="K31" i="3"/>
  <c r="E49" i="4"/>
  <c r="E671" i="4"/>
  <c r="K335" i="4"/>
  <c r="O151" i="3"/>
  <c r="C208" i="4"/>
  <c r="M317" i="4"/>
  <c r="G453" i="4"/>
  <c r="K512" i="4"/>
  <c r="K571" i="4"/>
  <c r="G671" i="4"/>
  <c r="E22" i="3"/>
  <c r="I226" i="4"/>
  <c r="K308" i="4"/>
  <c r="K367" i="4"/>
  <c r="I435" i="4"/>
  <c r="M494" i="4"/>
  <c r="M571" i="4"/>
  <c r="E680" i="4"/>
  <c r="C40" i="3"/>
  <c r="G100" i="3"/>
  <c r="M140" i="4"/>
  <c r="M208" i="4"/>
  <c r="C276" i="4"/>
  <c r="M326" i="4"/>
  <c r="I394" i="4"/>
  <c r="K435" i="4"/>
  <c r="K453" i="4"/>
  <c r="G494" i="4"/>
  <c r="G512" i="4"/>
  <c r="G553" i="4"/>
  <c r="G571" i="4"/>
  <c r="G612" i="4"/>
  <c r="M662" i="4"/>
  <c r="C689" i="4"/>
  <c r="M22" i="3"/>
  <c r="E49" i="3"/>
  <c r="O202" i="3"/>
  <c r="O220" i="3"/>
  <c r="C271" i="3"/>
  <c r="C289" i="3"/>
  <c r="C322" i="3"/>
  <c r="C340" i="3"/>
  <c r="K382" i="3"/>
  <c r="K400" i="3"/>
  <c r="C442" i="3"/>
  <c r="C460" i="3"/>
  <c r="K493" i="3"/>
  <c r="K511" i="3"/>
  <c r="K571" i="3"/>
  <c r="M589" i="3"/>
  <c r="K631" i="3"/>
  <c r="G691" i="3"/>
  <c r="C709" i="3"/>
  <c r="E82" i="3"/>
  <c r="M100" i="3"/>
  <c r="E160" i="3"/>
  <c r="E211" i="3"/>
  <c r="I280" i="3"/>
  <c r="E322" i="3"/>
  <c r="M340" i="3"/>
  <c r="M382" i="3"/>
  <c r="E409" i="3"/>
  <c r="E460" i="3"/>
  <c r="C502" i="3"/>
  <c r="I520" i="3"/>
  <c r="E571" i="3"/>
  <c r="I622" i="3"/>
  <c r="E649" i="3"/>
  <c r="I691" i="3"/>
  <c r="I630" i="4"/>
  <c r="C202" i="3"/>
  <c r="C220" i="3"/>
  <c r="C262" i="3"/>
  <c r="C280" i="3"/>
  <c r="E453" i="4"/>
  <c r="C49" i="4"/>
  <c r="O140" i="4"/>
  <c r="C217" i="4"/>
  <c r="I81" i="4"/>
  <c r="C160" i="3"/>
  <c r="C90" i="4"/>
  <c r="O603" i="4"/>
  <c r="M435" i="4"/>
  <c r="O22" i="4"/>
  <c r="O131" i="4"/>
  <c r="E621" i="4"/>
  <c r="E217" i="4"/>
  <c r="C344" i="4"/>
  <c r="C553" i="4"/>
  <c r="K612" i="4"/>
  <c r="K680" i="4"/>
  <c r="I40" i="3"/>
  <c r="E267" i="4"/>
  <c r="C326" i="4"/>
  <c r="C385" i="4"/>
  <c r="I453" i="4"/>
  <c r="M512" i="4"/>
  <c r="E612" i="4"/>
  <c r="C698" i="4"/>
  <c r="K49" i="3"/>
  <c r="O142" i="3"/>
  <c r="M158" i="4"/>
  <c r="O249" i="4"/>
  <c r="O285" i="4"/>
  <c r="I376" i="4"/>
  <c r="I403" i="4"/>
  <c r="G444" i="4"/>
  <c r="O494" i="4"/>
  <c r="O512" i="4"/>
  <c r="O553" i="4"/>
  <c r="O571" i="4"/>
  <c r="O612" i="4"/>
  <c r="C671" i="4"/>
  <c r="K689" i="4"/>
  <c r="I31" i="3"/>
  <c r="G82" i="3"/>
  <c r="C211" i="3"/>
  <c r="I229" i="3"/>
  <c r="K271" i="3"/>
  <c r="K289" i="3"/>
  <c r="K322" i="3"/>
  <c r="K340" i="3"/>
  <c r="G391" i="3"/>
  <c r="C409" i="3"/>
  <c r="K442" i="3"/>
  <c r="K460" i="3"/>
  <c r="I502" i="3"/>
  <c r="G520" i="3"/>
  <c r="G562" i="3"/>
  <c r="G580" i="3"/>
  <c r="G622" i="3"/>
  <c r="G640" i="3"/>
  <c r="O673" i="3"/>
  <c r="O691" i="3"/>
  <c r="M82" i="3"/>
  <c r="E142" i="3"/>
  <c r="M160" i="3"/>
  <c r="M211" i="3"/>
  <c r="I262" i="3"/>
  <c r="E289" i="3"/>
  <c r="M322" i="3"/>
  <c r="C349" i="3"/>
  <c r="I391" i="3"/>
  <c r="E442" i="3"/>
  <c r="M460" i="3"/>
  <c r="K502" i="3"/>
  <c r="E529" i="3"/>
  <c r="M571" i="3"/>
  <c r="E631" i="3"/>
  <c r="I673" i="3"/>
  <c r="E700" i="3"/>
  <c r="O160" i="3"/>
  <c r="K202" i="3"/>
  <c r="K220" i="3"/>
  <c r="K262" i="3"/>
  <c r="K280" i="3"/>
  <c r="M13" i="4"/>
  <c r="E562" i="4"/>
  <c r="E99" i="4"/>
  <c r="O158" i="4"/>
  <c r="M258" i="4"/>
  <c r="G385" i="4"/>
  <c r="C81" i="4"/>
  <c r="G90" i="4"/>
  <c r="I553" i="4"/>
  <c r="O149" i="4"/>
  <c r="M149" i="4"/>
  <c r="O258" i="4"/>
  <c r="I385" i="4"/>
  <c r="K494" i="4"/>
  <c r="K553" i="4"/>
  <c r="G621" i="4"/>
  <c r="G689" i="4"/>
  <c r="I49" i="3"/>
  <c r="M267" i="4"/>
  <c r="K326" i="4"/>
  <c r="K385" i="4"/>
  <c r="E462" i="4"/>
  <c r="E553" i="4"/>
  <c r="M612" i="4"/>
  <c r="O13" i="3"/>
  <c r="O73" i="3"/>
  <c r="C151" i="3"/>
  <c r="C258" i="4"/>
  <c r="E385" i="4"/>
  <c r="O444" i="4"/>
  <c r="C503" i="4"/>
  <c r="C521" i="4"/>
  <c r="C562" i="4"/>
  <c r="E580" i="4"/>
  <c r="C621" i="4"/>
  <c r="G680" i="4"/>
  <c r="E698" i="4"/>
  <c r="E40" i="3"/>
  <c r="K193" i="3"/>
  <c r="K211" i="3"/>
  <c r="G262" i="3"/>
  <c r="G280" i="3"/>
  <c r="G313" i="3"/>
  <c r="G331" i="3"/>
  <c r="O373" i="3"/>
  <c r="O391" i="3"/>
  <c r="K409" i="3"/>
  <c r="G451" i="3"/>
  <c r="O502" i="3"/>
  <c r="O520" i="3"/>
  <c r="O562" i="3"/>
  <c r="O580" i="3"/>
  <c r="O622" i="3"/>
  <c r="O640" i="3"/>
  <c r="C682" i="3"/>
  <c r="C700" i="3"/>
  <c r="I494" i="4"/>
  <c r="C512" i="4"/>
  <c r="O217" i="4"/>
  <c r="E494" i="4"/>
  <c r="K91" i="3"/>
  <c r="O267" i="4"/>
  <c r="C453" i="4"/>
  <c r="K562" i="4"/>
  <c r="I22" i="3"/>
  <c r="O262" i="3"/>
  <c r="C382" i="3"/>
  <c r="E589" i="3"/>
  <c r="K700" i="3"/>
  <c r="E100" i="3"/>
  <c r="I202" i="3"/>
  <c r="M271" i="3"/>
  <c r="E340" i="3"/>
  <c r="M400" i="3"/>
  <c r="M493" i="3"/>
  <c r="I562" i="3"/>
  <c r="I640" i="3"/>
  <c r="E709" i="3"/>
  <c r="O211" i="3"/>
  <c r="O271" i="3"/>
  <c r="G322" i="3"/>
  <c r="G340" i="3"/>
  <c r="G382" i="3"/>
  <c r="G400" i="3"/>
  <c r="O442" i="3"/>
  <c r="O460" i="3"/>
  <c r="G511" i="3"/>
  <c r="G529" i="3"/>
  <c r="G571" i="3"/>
  <c r="I589" i="3"/>
  <c r="G631" i="3"/>
  <c r="K673" i="3"/>
  <c r="K691" i="3"/>
  <c r="E91" i="3"/>
  <c r="E151" i="3"/>
  <c r="E220" i="3"/>
  <c r="M262" i="3"/>
  <c r="I289" i="3"/>
  <c r="E331" i="3"/>
  <c r="I382" i="3"/>
  <c r="I409" i="3"/>
  <c r="I460" i="3"/>
  <c r="G502" i="3"/>
  <c r="E562" i="3"/>
  <c r="M580" i="3"/>
  <c r="M622" i="3"/>
  <c r="M673" i="3"/>
  <c r="I700" i="3"/>
  <c r="O700" i="3"/>
  <c r="I100" i="3"/>
  <c r="G229" i="3"/>
  <c r="I340" i="3"/>
  <c r="I571" i="3"/>
  <c r="E691" i="3"/>
  <c r="O40" i="3"/>
  <c r="M13" i="3"/>
  <c r="C435" i="4"/>
  <c r="O680" i="4"/>
  <c r="O331" i="3"/>
  <c r="I91" i="3"/>
  <c r="E271" i="3"/>
  <c r="M631" i="3"/>
  <c r="G211" i="3"/>
  <c r="K331" i="3"/>
  <c r="K391" i="3"/>
  <c r="K580" i="3"/>
  <c r="K622" i="3"/>
  <c r="G709" i="3"/>
  <c r="E169" i="3"/>
  <c r="E262" i="3"/>
  <c r="M373" i="3"/>
  <c r="M520" i="3"/>
  <c r="E622" i="3"/>
  <c r="M630" i="4"/>
  <c r="M22" i="4"/>
  <c r="G40" i="3"/>
  <c r="C571" i="4"/>
  <c r="M285" i="4"/>
  <c r="E571" i="4"/>
  <c r="E140" i="4"/>
  <c r="E326" i="4"/>
  <c r="K485" i="4"/>
  <c r="M580" i="4"/>
  <c r="M40" i="3"/>
  <c r="O280" i="3"/>
  <c r="C400" i="3"/>
  <c r="C511" i="3"/>
  <c r="C631" i="3"/>
  <c r="G630" i="4"/>
  <c r="M142" i="3"/>
  <c r="I220" i="3"/>
  <c r="M289" i="3"/>
  <c r="M442" i="3"/>
  <c r="E511" i="3"/>
  <c r="I580" i="3"/>
  <c r="E682" i="3"/>
  <c r="C169" i="3"/>
  <c r="E229" i="3"/>
  <c r="G289" i="3"/>
  <c r="O322" i="3"/>
  <c r="O340" i="3"/>
  <c r="O382" i="3"/>
  <c r="O400" i="3"/>
  <c r="C451" i="3"/>
  <c r="C469" i="3"/>
  <c r="O493" i="3"/>
  <c r="O511" i="3"/>
  <c r="O553" i="3"/>
  <c r="O571" i="3"/>
  <c r="O613" i="3"/>
  <c r="O631" i="3"/>
  <c r="G682" i="3"/>
  <c r="G700" i="3"/>
  <c r="C630" i="4"/>
  <c r="M91" i="3"/>
  <c r="M151" i="3"/>
  <c r="E202" i="3"/>
  <c r="M220" i="3"/>
  <c r="I271" i="3"/>
  <c r="M331" i="3"/>
  <c r="E391" i="3"/>
  <c r="I442" i="3"/>
  <c r="E469" i="3"/>
  <c r="I511" i="3"/>
  <c r="M562" i="3"/>
  <c r="C589" i="3"/>
  <c r="I631" i="3"/>
  <c r="I682" i="3"/>
  <c r="I709" i="3"/>
  <c r="O682" i="3"/>
  <c r="I160" i="3"/>
  <c r="E280" i="3"/>
  <c r="M313" i="3"/>
  <c r="E451" i="3"/>
  <c r="E520" i="3"/>
  <c r="E640" i="3"/>
  <c r="I285" i="4"/>
  <c r="G403" i="4"/>
  <c r="O31" i="3"/>
  <c r="O451" i="3"/>
  <c r="C571" i="3"/>
  <c r="M193" i="3"/>
  <c r="E400" i="3"/>
  <c r="M553" i="3"/>
  <c r="G271" i="3"/>
  <c r="K373" i="3"/>
  <c r="G460" i="3"/>
  <c r="M502" i="3"/>
  <c r="K562" i="3"/>
  <c r="K640" i="3"/>
  <c r="G49" i="3"/>
  <c r="I211" i="3"/>
  <c r="M280" i="3"/>
  <c r="I400" i="3"/>
  <c r="I493" i="3"/>
  <c r="E580" i="3"/>
  <c r="M691" i="3"/>
  <c r="K99" i="4"/>
  <c r="E90" i="4"/>
  <c r="O276" i="4"/>
  <c r="I662" i="4"/>
  <c r="E344" i="4"/>
  <c r="I671" i="4"/>
  <c r="M385" i="4"/>
  <c r="K503" i="4"/>
  <c r="K621" i="4"/>
  <c r="G202" i="3"/>
  <c r="O313" i="3"/>
  <c r="C529" i="3"/>
  <c r="C649" i="3"/>
  <c r="O630" i="4"/>
  <c r="I151" i="3"/>
  <c r="C229" i="3"/>
  <c r="I313" i="3"/>
  <c r="E382" i="3"/>
  <c r="I451" i="3"/>
  <c r="M511" i="3"/>
  <c r="G589" i="3"/>
  <c r="M682" i="3"/>
  <c r="O193" i="3"/>
  <c r="O253" i="3"/>
  <c r="O289" i="3"/>
  <c r="C331" i="3"/>
  <c r="E349" i="3"/>
  <c r="C391" i="3"/>
  <c r="G409" i="3"/>
  <c r="K451" i="3"/>
  <c r="E502" i="3"/>
  <c r="C520" i="3"/>
  <c r="C562" i="3"/>
  <c r="C580" i="3"/>
  <c r="C622" i="3"/>
  <c r="C640" i="3"/>
  <c r="K630" i="4"/>
  <c r="M202" i="3"/>
  <c r="M391" i="3"/>
  <c r="K589" i="3"/>
  <c r="E630" i="4"/>
  <c r="G435" i="4"/>
  <c r="E208" i="4"/>
  <c r="G220" i="3"/>
  <c r="K682" i="3"/>
  <c r="I331" i="3"/>
  <c r="M700" i="3"/>
  <c r="K313" i="3"/>
  <c r="G442" i="3"/>
  <c r="K520" i="3"/>
  <c r="C691" i="3"/>
  <c r="I142" i="3"/>
  <c r="I322" i="3"/>
  <c r="M451" i="3"/>
  <c r="M640" i="3"/>
  <c r="N664" i="3"/>
  <c r="L663" i="3" s="1"/>
  <c r="J29" i="2"/>
  <c r="J36" i="2"/>
  <c r="C368" i="4"/>
  <c r="E191" i="4"/>
  <c r="C486" i="4"/>
  <c r="C250" i="4"/>
  <c r="E250" i="4"/>
  <c r="E649" i="4"/>
  <c r="C14" i="4"/>
  <c r="M649" i="4"/>
  <c r="G250" i="4"/>
  <c r="I250" i="4"/>
  <c r="K345" i="4"/>
  <c r="M345" i="4"/>
  <c r="M522" i="4"/>
  <c r="E129" i="4" l="1"/>
  <c r="I71" i="3"/>
  <c r="O401" i="4"/>
  <c r="O407" i="3"/>
  <c r="O431" i="3"/>
  <c r="O424" i="4"/>
  <c r="M696" i="4"/>
  <c r="M431" i="3"/>
  <c r="M707" i="3"/>
  <c r="M224" i="4"/>
  <c r="M424" i="4"/>
  <c r="M227" i="3"/>
  <c r="K431" i="3"/>
  <c r="K527" i="3"/>
  <c r="K519" i="4"/>
  <c r="K424" i="4"/>
  <c r="I347" i="3"/>
  <c r="I424" i="4"/>
  <c r="I167" i="3"/>
  <c r="I165" i="4"/>
  <c r="I342" i="4"/>
  <c r="I431" i="3"/>
  <c r="G424" i="4"/>
  <c r="G460" i="4"/>
  <c r="G467" i="3"/>
  <c r="G647" i="3"/>
  <c r="G637" i="4"/>
  <c r="G431" i="3"/>
  <c r="E292" i="4"/>
  <c r="E296" i="3"/>
  <c r="E431" i="3"/>
  <c r="E424" i="4"/>
  <c r="C292" i="4"/>
  <c r="C596" i="3"/>
  <c r="C56" i="4"/>
  <c r="C424" i="4"/>
  <c r="C431" i="3"/>
  <c r="C587" i="4"/>
  <c r="C107" i="3"/>
  <c r="C106" i="4"/>
  <c r="O406" i="3"/>
  <c r="O400" i="4"/>
  <c r="O423" i="4"/>
  <c r="O430" i="3"/>
  <c r="M706" i="3"/>
  <c r="M695" i="4"/>
  <c r="M423" i="4"/>
  <c r="M223" i="4"/>
  <c r="M226" i="3"/>
  <c r="M430" i="3"/>
  <c r="K518" i="4"/>
  <c r="K423" i="4"/>
  <c r="K526" i="3"/>
  <c r="K430" i="3"/>
  <c r="I341" i="4"/>
  <c r="I166" i="3"/>
  <c r="I346" i="3"/>
  <c r="I164" i="4"/>
  <c r="I430" i="3"/>
  <c r="I423" i="4"/>
  <c r="G646" i="3"/>
  <c r="G636" i="4"/>
  <c r="G423" i="4"/>
  <c r="G466" i="3"/>
  <c r="G430" i="3"/>
  <c r="G459" i="4"/>
  <c r="E291" i="4"/>
  <c r="E423" i="4"/>
  <c r="E295" i="3"/>
  <c r="E430" i="3"/>
  <c r="C423" i="4"/>
  <c r="C291" i="4"/>
  <c r="C106" i="3"/>
  <c r="C586" i="4"/>
  <c r="C105" i="4"/>
  <c r="C55" i="4"/>
  <c r="C430" i="3"/>
  <c r="C595" i="3"/>
  <c r="O405" i="3"/>
  <c r="O399" i="4"/>
  <c r="O429" i="3"/>
  <c r="O422" i="4"/>
  <c r="M422" i="4"/>
  <c r="M694" i="4"/>
  <c r="M705" i="3"/>
  <c r="M225" i="3"/>
  <c r="M222" i="4"/>
  <c r="M429" i="3"/>
  <c r="K422" i="4"/>
  <c r="K517" i="4"/>
  <c r="K525" i="3"/>
  <c r="K429" i="3"/>
  <c r="I429" i="3"/>
  <c r="I422" i="4"/>
  <c r="I345" i="3"/>
  <c r="I340" i="4"/>
  <c r="I163" i="4"/>
  <c r="I165" i="3"/>
  <c r="G429" i="3"/>
  <c r="G635" i="4"/>
  <c r="G465" i="3"/>
  <c r="G422" i="4"/>
  <c r="G458" i="4"/>
  <c r="G645" i="3"/>
  <c r="E422" i="4"/>
  <c r="E290" i="4"/>
  <c r="E294" i="3"/>
  <c r="E429" i="3"/>
  <c r="C422" i="4"/>
  <c r="C54" i="4"/>
  <c r="C594" i="3"/>
  <c r="C105" i="3"/>
  <c r="C104" i="4"/>
  <c r="C290" i="4"/>
  <c r="C585" i="4"/>
  <c r="C429" i="3"/>
  <c r="M46" i="4"/>
  <c r="O36" i="4"/>
  <c r="G603" i="4"/>
  <c r="I131" i="3"/>
  <c r="O49" i="4"/>
  <c r="M49" i="4"/>
  <c r="E40" i="4"/>
  <c r="G580" i="4"/>
  <c r="M671" i="4"/>
  <c r="K149" i="4"/>
  <c r="C22" i="3"/>
  <c r="I40" i="4"/>
  <c r="K258" i="4"/>
  <c r="K151" i="3"/>
  <c r="G22" i="3"/>
  <c r="M553" i="4"/>
  <c r="G394" i="4"/>
  <c r="I276" i="4"/>
  <c r="O689" i="4"/>
  <c r="G562" i="4"/>
  <c r="O453" i="4"/>
  <c r="I326" i="4"/>
  <c r="E199" i="4"/>
  <c r="K190" i="4"/>
  <c r="G49" i="4"/>
  <c r="M562" i="4"/>
  <c r="I82" i="3"/>
  <c r="M99" i="4"/>
  <c r="K394" i="4"/>
  <c r="I267" i="4"/>
  <c r="C149" i="4"/>
  <c r="I571" i="4"/>
  <c r="E31" i="4"/>
  <c r="K709" i="3"/>
  <c r="K226" i="4"/>
  <c r="K229" i="3"/>
  <c r="E131" i="4"/>
  <c r="E72" i="4"/>
  <c r="M49" i="3"/>
  <c r="E603" i="4"/>
  <c r="I73" i="3"/>
  <c r="M133" i="3"/>
  <c r="I603" i="4"/>
  <c r="M403" i="4"/>
  <c r="M131" i="4"/>
  <c r="I527" i="3"/>
  <c r="M131" i="3"/>
  <c r="O47" i="3"/>
  <c r="K70" i="4"/>
  <c r="G131" i="3"/>
  <c r="K696" i="4"/>
  <c r="E70" i="4"/>
  <c r="E71" i="3"/>
  <c r="K71" i="3"/>
  <c r="G129" i="4"/>
  <c r="M611" i="3"/>
  <c r="G611" i="3"/>
  <c r="O578" i="4"/>
  <c r="I129" i="4"/>
  <c r="G71" i="3"/>
  <c r="K227" i="3"/>
  <c r="K131" i="3"/>
  <c r="K129" i="4"/>
  <c r="G70" i="4"/>
  <c r="M407" i="3"/>
  <c r="K707" i="3"/>
  <c r="K611" i="3"/>
  <c r="K601" i="4"/>
  <c r="I519" i="4"/>
  <c r="I601" i="4"/>
  <c r="E611" i="3"/>
  <c r="E601" i="4"/>
  <c r="O586" i="3"/>
  <c r="E70" i="3"/>
  <c r="M400" i="4"/>
  <c r="I610" i="3"/>
  <c r="M128" i="4"/>
  <c r="O46" i="3"/>
  <c r="I69" i="4"/>
  <c r="K223" i="4"/>
  <c r="G346" i="3"/>
  <c r="E600" i="4"/>
  <c r="M129" i="4"/>
  <c r="K224" i="4"/>
  <c r="I70" i="4"/>
  <c r="M47" i="3"/>
  <c r="I611" i="3"/>
  <c r="G347" i="3"/>
  <c r="E131" i="3"/>
  <c r="O587" i="3"/>
  <c r="G601" i="4"/>
  <c r="M601" i="4"/>
  <c r="G342" i="4"/>
  <c r="G128" i="4"/>
  <c r="I128" i="4"/>
  <c r="K226" i="3"/>
  <c r="G70" i="3"/>
  <c r="K610" i="3"/>
  <c r="I130" i="3"/>
  <c r="I70" i="3"/>
  <c r="E610" i="3"/>
  <c r="I518" i="4"/>
  <c r="K600" i="4"/>
  <c r="E128" i="4"/>
  <c r="G69" i="4"/>
  <c r="K69" i="4"/>
  <c r="M46" i="3"/>
  <c r="I526" i="3"/>
  <c r="M406" i="3"/>
  <c r="E130" i="3"/>
  <c r="M610" i="3"/>
  <c r="K130" i="3"/>
  <c r="K70" i="3"/>
  <c r="K695" i="4"/>
  <c r="I600" i="4"/>
  <c r="C295" i="3"/>
  <c r="E69" i="4"/>
  <c r="K128" i="4"/>
  <c r="M130" i="3"/>
  <c r="K706" i="3"/>
  <c r="G130" i="3"/>
  <c r="G610" i="3"/>
  <c r="G600" i="4"/>
  <c r="G341" i="4"/>
  <c r="M600" i="4"/>
  <c r="M47" i="4"/>
  <c r="O47" i="4"/>
  <c r="C296" i="3"/>
  <c r="O585" i="3"/>
  <c r="O45" i="3"/>
  <c r="O576" i="4"/>
  <c r="C20" i="2"/>
  <c r="O46" i="4"/>
  <c r="O577" i="4"/>
  <c r="O37" i="4"/>
  <c r="M48" i="4"/>
  <c r="O48" i="4"/>
  <c r="M45" i="4"/>
  <c r="O45" i="4"/>
  <c r="I517" i="4"/>
  <c r="G129" i="3"/>
  <c r="I127" i="4"/>
  <c r="M609" i="3"/>
  <c r="K68" i="4"/>
  <c r="G69" i="3"/>
  <c r="I68" i="4"/>
  <c r="I525" i="3"/>
  <c r="G599" i="4"/>
  <c r="K225" i="3"/>
  <c r="E69" i="3"/>
  <c r="M599" i="4"/>
  <c r="K72" i="4"/>
  <c r="E73" i="3"/>
  <c r="M127" i="4"/>
  <c r="K694" i="4"/>
  <c r="K222" i="4"/>
  <c r="I609" i="3"/>
  <c r="I69" i="3"/>
  <c r="E609" i="3"/>
  <c r="E127" i="4"/>
  <c r="G345" i="3"/>
  <c r="I129" i="3"/>
  <c r="G609" i="3"/>
  <c r="E599" i="4"/>
  <c r="G340" i="4"/>
  <c r="M399" i="4"/>
  <c r="C294" i="3"/>
  <c r="K705" i="3"/>
  <c r="M405" i="3"/>
  <c r="K127" i="4"/>
  <c r="G68" i="4"/>
  <c r="E129" i="3"/>
  <c r="G127" i="4"/>
  <c r="E68" i="4"/>
  <c r="K129" i="3"/>
  <c r="M129" i="3"/>
  <c r="K609" i="3"/>
  <c r="K69" i="3"/>
  <c r="M45" i="3"/>
  <c r="I599" i="4"/>
  <c r="K599" i="4"/>
  <c r="C21" i="2"/>
  <c r="I602" i="4"/>
  <c r="M402" i="4"/>
  <c r="G602" i="4"/>
  <c r="M612" i="3"/>
  <c r="I612" i="3"/>
  <c r="O48" i="3"/>
  <c r="K132" i="3"/>
  <c r="I132" i="3"/>
  <c r="E612" i="3"/>
  <c r="I71" i="4"/>
  <c r="K130" i="4"/>
  <c r="C297" i="3"/>
  <c r="E602" i="4"/>
  <c r="I520" i="4"/>
  <c r="K602" i="4"/>
  <c r="G348" i="3"/>
  <c r="I72" i="3"/>
  <c r="K708" i="3"/>
  <c r="E72" i="3"/>
  <c r="M408" i="3"/>
  <c r="E130" i="4"/>
  <c r="M130" i="4"/>
  <c r="K697" i="4"/>
  <c r="G72" i="3"/>
  <c r="O588" i="3"/>
  <c r="G130" i="4"/>
  <c r="G343" i="4"/>
  <c r="M602" i="4"/>
  <c r="M48" i="3"/>
  <c r="K228" i="3"/>
  <c r="G612" i="3"/>
  <c r="M132" i="3"/>
  <c r="K72" i="3"/>
  <c r="G71" i="4"/>
  <c r="K71" i="4"/>
  <c r="E71" i="4"/>
  <c r="O579" i="4"/>
  <c r="K612" i="3"/>
  <c r="E132" i="3"/>
  <c r="G132" i="3"/>
  <c r="I528" i="3"/>
  <c r="I130" i="4"/>
  <c r="K225" i="4"/>
  <c r="O655" i="4"/>
  <c r="M655" i="4"/>
  <c r="K655" i="4"/>
  <c r="I655" i="4"/>
  <c r="G655" i="4"/>
  <c r="E655" i="4"/>
  <c r="K522" i="4" l="1"/>
  <c r="K427" i="4"/>
  <c r="I345" i="4"/>
  <c r="G427" i="4"/>
  <c r="I427" i="4"/>
  <c r="C427" i="4"/>
  <c r="M227" i="4"/>
  <c r="M699" i="4"/>
  <c r="E427" i="4"/>
  <c r="M404" i="4"/>
  <c r="O50" i="3"/>
  <c r="G604" i="4"/>
  <c r="C73" i="4"/>
  <c r="O50" i="4"/>
  <c r="M50" i="4"/>
  <c r="I132" i="4"/>
  <c r="I522" i="4"/>
  <c r="M132" i="4"/>
  <c r="M604" i="4"/>
  <c r="I604" i="4"/>
  <c r="K604" i="4"/>
  <c r="K227" i="4"/>
  <c r="K73" i="4"/>
  <c r="M50" i="3"/>
  <c r="C132" i="4"/>
  <c r="K132" i="4"/>
  <c r="E73" i="4"/>
  <c r="G345" i="4"/>
  <c r="K699" i="4"/>
  <c r="I73" i="4"/>
  <c r="E132" i="4"/>
  <c r="G73" i="4"/>
  <c r="C604" i="4"/>
  <c r="E604" i="4"/>
  <c r="G132" i="4"/>
  <c r="O596" i="4"/>
  <c r="M596" i="4"/>
  <c r="K596" i="4"/>
  <c r="I596" i="4"/>
  <c r="G596" i="4"/>
  <c r="E596" i="4"/>
  <c r="O537" i="4"/>
  <c r="M537" i="4"/>
  <c r="K537" i="4"/>
  <c r="I537" i="4"/>
  <c r="G537" i="4"/>
  <c r="E537" i="4"/>
  <c r="O478" i="4"/>
  <c r="M478" i="4"/>
  <c r="K478" i="4"/>
  <c r="I478" i="4"/>
  <c r="G478" i="4"/>
  <c r="E478" i="4"/>
  <c r="O419" i="4"/>
  <c r="M419" i="4"/>
  <c r="K419" i="4"/>
  <c r="I419" i="4"/>
  <c r="G419" i="4"/>
  <c r="E419" i="4"/>
  <c r="O360" i="4"/>
  <c r="M360" i="4"/>
  <c r="K360" i="4"/>
  <c r="I360" i="4"/>
  <c r="G360" i="4"/>
  <c r="E360" i="4"/>
  <c r="O301" i="4"/>
  <c r="M301" i="4"/>
  <c r="K301" i="4"/>
  <c r="I301" i="4"/>
  <c r="G301" i="4"/>
  <c r="E301" i="4"/>
  <c r="O242" i="4"/>
  <c r="M242" i="4"/>
  <c r="K242" i="4"/>
  <c r="I242" i="4"/>
  <c r="G242" i="4"/>
  <c r="E242" i="4"/>
  <c r="O183" i="4"/>
  <c r="M183" i="4"/>
  <c r="K183" i="4"/>
  <c r="I183" i="4"/>
  <c r="G183" i="4"/>
  <c r="E183" i="4"/>
  <c r="O124" i="4"/>
  <c r="M124" i="4"/>
  <c r="K124" i="4"/>
  <c r="I124" i="4"/>
  <c r="G124" i="4"/>
  <c r="E124" i="4"/>
  <c r="O65" i="4"/>
  <c r="M65" i="4"/>
  <c r="K65" i="4"/>
  <c r="I65" i="4"/>
  <c r="G65" i="4"/>
  <c r="E65" i="4"/>
  <c r="O6" i="4"/>
  <c r="M6" i="4"/>
  <c r="K6" i="4"/>
  <c r="I6" i="4"/>
  <c r="G6" i="4"/>
  <c r="E6" i="4"/>
  <c r="H1" i="4"/>
  <c r="J111" i="4" l="1"/>
  <c r="B111" i="4"/>
  <c r="J102" i="4"/>
  <c r="B102" i="4"/>
  <c r="L102" i="4"/>
  <c r="H111" i="4"/>
  <c r="H102" i="4"/>
  <c r="N111" i="4"/>
  <c r="F111" i="4"/>
  <c r="N102" i="4"/>
  <c r="F102" i="4"/>
  <c r="L111" i="4"/>
  <c r="D111" i="4"/>
  <c r="D102" i="4"/>
  <c r="J170" i="4"/>
  <c r="B170" i="4"/>
  <c r="J161" i="4"/>
  <c r="B161" i="4"/>
  <c r="H170" i="4"/>
  <c r="H161" i="4"/>
  <c r="N170" i="4"/>
  <c r="F170" i="4"/>
  <c r="N161" i="4"/>
  <c r="F161" i="4"/>
  <c r="L170" i="4"/>
  <c r="D170" i="4"/>
  <c r="L161" i="4"/>
  <c r="D161" i="4"/>
  <c r="J229" i="4"/>
  <c r="B229" i="4"/>
  <c r="J220" i="4"/>
  <c r="B220" i="4"/>
  <c r="H229" i="4"/>
  <c r="H220" i="4"/>
  <c r="N229" i="4"/>
  <c r="F229" i="4"/>
  <c r="N220" i="4"/>
  <c r="F220" i="4"/>
  <c r="L229" i="4"/>
  <c r="L220" i="4"/>
  <c r="D220" i="4"/>
  <c r="D229" i="4"/>
  <c r="J288" i="4"/>
  <c r="B288" i="4"/>
  <c r="J279" i="4"/>
  <c r="B279" i="4"/>
  <c r="H288" i="4"/>
  <c r="H279" i="4"/>
  <c r="N288" i="4"/>
  <c r="F288" i="4"/>
  <c r="N279" i="4"/>
  <c r="F279" i="4"/>
  <c r="L288" i="4"/>
  <c r="D288" i="4"/>
  <c r="D279" i="4"/>
  <c r="L279" i="4"/>
  <c r="J347" i="4"/>
  <c r="B347" i="4"/>
  <c r="J338" i="4"/>
  <c r="B338" i="4"/>
  <c r="H347" i="4"/>
  <c r="H338" i="4"/>
  <c r="N347" i="4"/>
  <c r="F347" i="4"/>
  <c r="N338" i="4"/>
  <c r="F338" i="4"/>
  <c r="L347" i="4"/>
  <c r="D347" i="4"/>
  <c r="L338" i="4"/>
  <c r="D338" i="4"/>
  <c r="J406" i="4"/>
  <c r="B406" i="4"/>
  <c r="J397" i="4"/>
  <c r="B397" i="4"/>
  <c r="H406" i="4"/>
  <c r="H397" i="4"/>
  <c r="N406" i="4"/>
  <c r="F406" i="4"/>
  <c r="N397" i="4"/>
  <c r="F397" i="4"/>
  <c r="L406" i="4"/>
  <c r="D406" i="4"/>
  <c r="L397" i="4"/>
  <c r="D397" i="4"/>
  <c r="J465" i="4"/>
  <c r="B465" i="4"/>
  <c r="J456" i="4"/>
  <c r="B456" i="4"/>
  <c r="H465" i="4"/>
  <c r="H456" i="4"/>
  <c r="N465" i="4"/>
  <c r="F465" i="4"/>
  <c r="N456" i="4"/>
  <c r="F456" i="4"/>
  <c r="L465" i="4"/>
  <c r="D465" i="4"/>
  <c r="L456" i="4"/>
  <c r="D456" i="4"/>
  <c r="J524" i="4"/>
  <c r="B524" i="4"/>
  <c r="J515" i="4"/>
  <c r="B515" i="4"/>
  <c r="H524" i="4"/>
  <c r="H515" i="4"/>
  <c r="N524" i="4"/>
  <c r="F524" i="4"/>
  <c r="N515" i="4"/>
  <c r="F515" i="4"/>
  <c r="L524" i="4"/>
  <c r="D524" i="4"/>
  <c r="L515" i="4"/>
  <c r="D515" i="4"/>
  <c r="J583" i="4"/>
  <c r="B583" i="4"/>
  <c r="J574" i="4"/>
  <c r="B574" i="4"/>
  <c r="H583" i="4"/>
  <c r="H574" i="4"/>
  <c r="N583" i="4"/>
  <c r="F583" i="4"/>
  <c r="N574" i="4"/>
  <c r="F574" i="4"/>
  <c r="L583" i="4"/>
  <c r="D583" i="4"/>
  <c r="L574" i="4"/>
  <c r="D574" i="4"/>
  <c r="H642" i="4"/>
  <c r="H633" i="4"/>
  <c r="N633" i="4"/>
  <c r="F633" i="4"/>
  <c r="N642" i="4"/>
  <c r="F642" i="4"/>
  <c r="L642" i="4"/>
  <c r="D642" i="4"/>
  <c r="L633" i="4"/>
  <c r="D633" i="4"/>
  <c r="J642" i="4"/>
  <c r="B642" i="4"/>
  <c r="J633" i="4"/>
  <c r="B633" i="4"/>
  <c r="J701" i="4"/>
  <c r="B701" i="4"/>
  <c r="J692" i="4"/>
  <c r="B692" i="4"/>
  <c r="H701" i="4"/>
  <c r="H692" i="4"/>
  <c r="N701" i="4"/>
  <c r="F701" i="4"/>
  <c r="N692" i="4"/>
  <c r="F692" i="4"/>
  <c r="L701" i="4"/>
  <c r="D701" i="4"/>
  <c r="L692" i="4"/>
  <c r="D692" i="4"/>
  <c r="J420" i="4"/>
  <c r="L66" i="4"/>
  <c r="B66" i="4"/>
  <c r="H7" i="4"/>
  <c r="F125" i="4"/>
  <c r="B7" i="4"/>
  <c r="D66" i="4"/>
  <c r="N66" i="4"/>
  <c r="B75" i="4" s="1"/>
  <c r="D75" i="4" s="1"/>
  <c r="F75" i="4" s="1"/>
  <c r="H75" i="4" s="1"/>
  <c r="J75" i="4" s="1"/>
  <c r="L75" i="4" s="1"/>
  <c r="N75" i="4" s="1"/>
  <c r="B84" i="4" s="1"/>
  <c r="D84" i="4" s="1"/>
  <c r="F84" i="4" s="1"/>
  <c r="H84" i="4" s="1"/>
  <c r="J84" i="4" s="1"/>
  <c r="L84" i="4" s="1"/>
  <c r="N84" i="4" s="1"/>
  <c r="B93" i="4" s="1"/>
  <c r="D93" i="4" s="1"/>
  <c r="F93" i="4" s="1"/>
  <c r="H93" i="4" s="1"/>
  <c r="J93" i="4" s="1"/>
  <c r="L93" i="4" s="1"/>
  <c r="N93" i="4" s="1"/>
  <c r="L125" i="4"/>
  <c r="F302" i="4"/>
  <c r="J7" i="4"/>
  <c r="D7" i="4"/>
  <c r="L7" i="4"/>
  <c r="F66" i="4"/>
  <c r="N125" i="4"/>
  <c r="B134" i="4" s="1"/>
  <c r="D184" i="4"/>
  <c r="L656" i="4"/>
  <c r="D656" i="4"/>
  <c r="H656" i="4"/>
  <c r="N656" i="4"/>
  <c r="B665" i="4" s="1"/>
  <c r="H597" i="4"/>
  <c r="J656" i="4"/>
  <c r="F656" i="4"/>
  <c r="L597" i="4"/>
  <c r="D597" i="4"/>
  <c r="N597" i="4"/>
  <c r="B606" i="4" s="1"/>
  <c r="B597" i="4"/>
  <c r="J597" i="4"/>
  <c r="J538" i="4"/>
  <c r="B538" i="4"/>
  <c r="J479" i="4"/>
  <c r="B479" i="4"/>
  <c r="B656" i="4"/>
  <c r="F597" i="4"/>
  <c r="H538" i="4"/>
  <c r="N538" i="4"/>
  <c r="B547" i="4" s="1"/>
  <c r="F538" i="4"/>
  <c r="N479" i="4"/>
  <c r="B488" i="4" s="1"/>
  <c r="F479" i="4"/>
  <c r="N420" i="4"/>
  <c r="B429" i="4" s="1"/>
  <c r="F420" i="4"/>
  <c r="D479" i="4"/>
  <c r="H420" i="4"/>
  <c r="N361" i="4"/>
  <c r="B370" i="4" s="1"/>
  <c r="F361" i="4"/>
  <c r="L538" i="4"/>
  <c r="D420" i="4"/>
  <c r="D538" i="4"/>
  <c r="L479" i="4"/>
  <c r="L420" i="4"/>
  <c r="B420" i="4"/>
  <c r="J361" i="4"/>
  <c r="B361" i="4"/>
  <c r="L361" i="4"/>
  <c r="H479" i="4"/>
  <c r="H361" i="4"/>
  <c r="J302" i="4"/>
  <c r="B302" i="4"/>
  <c r="J243" i="4"/>
  <c r="B243" i="4"/>
  <c r="D361" i="4"/>
  <c r="H302" i="4"/>
  <c r="H243" i="4"/>
  <c r="D302" i="4"/>
  <c r="F243" i="4"/>
  <c r="J184" i="4"/>
  <c r="B184" i="4"/>
  <c r="J125" i="4"/>
  <c r="B125" i="4"/>
  <c r="N302" i="4"/>
  <c r="B311" i="4" s="1"/>
  <c r="D243" i="4"/>
  <c r="H184" i="4"/>
  <c r="H125" i="4"/>
  <c r="H66" i="4"/>
  <c r="L302" i="4"/>
  <c r="N243" i="4"/>
  <c r="B252" i="4" s="1"/>
  <c r="N184" i="4"/>
  <c r="B193" i="4" s="1"/>
  <c r="F184" i="4"/>
  <c r="F7" i="4"/>
  <c r="N7" i="4"/>
  <c r="B16" i="4" s="1"/>
  <c r="D16" i="4" s="1"/>
  <c r="F16" i="4" s="1"/>
  <c r="H16" i="4" s="1"/>
  <c r="J16" i="4" s="1"/>
  <c r="L16" i="4" s="1"/>
  <c r="N16" i="4" s="1"/>
  <c r="B25" i="4" s="1"/>
  <c r="D25" i="4" s="1"/>
  <c r="F25" i="4" s="1"/>
  <c r="H25" i="4" s="1"/>
  <c r="J25" i="4" s="1"/>
  <c r="L25" i="4" s="1"/>
  <c r="N25" i="4" s="1"/>
  <c r="B34" i="4" s="1"/>
  <c r="D34" i="4" s="1"/>
  <c r="F34" i="4" s="1"/>
  <c r="H34" i="4" s="1"/>
  <c r="J34" i="4" s="1"/>
  <c r="L34" i="4" s="1"/>
  <c r="N34" i="4" s="1"/>
  <c r="J66" i="4"/>
  <c r="D125" i="4"/>
  <c r="L184" i="4"/>
  <c r="L243" i="4"/>
  <c r="D311" i="4" l="1"/>
  <c r="F311" i="4" s="1"/>
  <c r="H311" i="4" s="1"/>
  <c r="J311" i="4" s="1"/>
  <c r="L311" i="4" s="1"/>
  <c r="N311" i="4" s="1"/>
  <c r="B320" i="4" s="1"/>
  <c r="D320" i="4" s="1"/>
  <c r="F320" i="4" s="1"/>
  <c r="H320" i="4" s="1"/>
  <c r="J320" i="4" s="1"/>
  <c r="L320" i="4" s="1"/>
  <c r="N320" i="4" s="1"/>
  <c r="B329" i="4" s="1"/>
  <c r="D329" i="4" s="1"/>
  <c r="F329" i="4" s="1"/>
  <c r="H329" i="4" s="1"/>
  <c r="J329" i="4" s="1"/>
  <c r="L329" i="4" s="1"/>
  <c r="N329" i="4" s="1"/>
  <c r="D488" i="4"/>
  <c r="F488" i="4" s="1"/>
  <c r="H488" i="4" s="1"/>
  <c r="J488" i="4" s="1"/>
  <c r="L488" i="4" s="1"/>
  <c r="N488" i="4" s="1"/>
  <c r="B497" i="4" s="1"/>
  <c r="D497" i="4" s="1"/>
  <c r="F497" i="4" s="1"/>
  <c r="H497" i="4" s="1"/>
  <c r="J497" i="4" s="1"/>
  <c r="L497" i="4" s="1"/>
  <c r="N497" i="4" s="1"/>
  <c r="B506" i="4" s="1"/>
  <c r="D506" i="4" s="1"/>
  <c r="F506" i="4" s="1"/>
  <c r="H506" i="4" s="1"/>
  <c r="J506" i="4" s="1"/>
  <c r="L506" i="4" s="1"/>
  <c r="N506" i="4" s="1"/>
  <c r="D606" i="4"/>
  <c r="F606" i="4" s="1"/>
  <c r="H606" i="4" s="1"/>
  <c r="J606" i="4" s="1"/>
  <c r="L606" i="4" s="1"/>
  <c r="N606" i="4" s="1"/>
  <c r="B615" i="4" s="1"/>
  <c r="D615" i="4" s="1"/>
  <c r="F615" i="4" s="1"/>
  <c r="H615" i="4" s="1"/>
  <c r="J615" i="4" s="1"/>
  <c r="L615" i="4" s="1"/>
  <c r="N615" i="4" s="1"/>
  <c r="B624" i="4" s="1"/>
  <c r="D624" i="4" s="1"/>
  <c r="F624" i="4" s="1"/>
  <c r="H624" i="4" s="1"/>
  <c r="J624" i="4" s="1"/>
  <c r="L624" i="4" s="1"/>
  <c r="N624" i="4" s="1"/>
  <c r="D193" i="4"/>
  <c r="F193" i="4" s="1"/>
  <c r="H193" i="4" s="1"/>
  <c r="J193" i="4" s="1"/>
  <c r="L193" i="4" s="1"/>
  <c r="N193" i="4" s="1"/>
  <c r="B202" i="4" s="1"/>
  <c r="D202" i="4" s="1"/>
  <c r="F202" i="4" s="1"/>
  <c r="H202" i="4" s="1"/>
  <c r="J202" i="4" s="1"/>
  <c r="L202" i="4" s="1"/>
  <c r="N202" i="4" s="1"/>
  <c r="B211" i="4" s="1"/>
  <c r="D211" i="4" s="1"/>
  <c r="F211" i="4" s="1"/>
  <c r="H211" i="4" s="1"/>
  <c r="J211" i="4" s="1"/>
  <c r="L211" i="4" s="1"/>
  <c r="N211" i="4" s="1"/>
  <c r="D252" i="4"/>
  <c r="F252" i="4" s="1"/>
  <c r="H252" i="4" s="1"/>
  <c r="J252" i="4" s="1"/>
  <c r="L252" i="4" s="1"/>
  <c r="N252" i="4" s="1"/>
  <c r="B261" i="4" s="1"/>
  <c r="D261" i="4" s="1"/>
  <c r="F261" i="4" s="1"/>
  <c r="H261" i="4" s="1"/>
  <c r="J261" i="4" s="1"/>
  <c r="L261" i="4" s="1"/>
  <c r="N261" i="4" s="1"/>
  <c r="B270" i="4" s="1"/>
  <c r="D270" i="4" s="1"/>
  <c r="F270" i="4" s="1"/>
  <c r="H270" i="4" s="1"/>
  <c r="J270" i="4" s="1"/>
  <c r="L270" i="4" s="1"/>
  <c r="N270" i="4" s="1"/>
  <c r="D370" i="4"/>
  <c r="F370" i="4" s="1"/>
  <c r="H370" i="4" s="1"/>
  <c r="J370" i="4" s="1"/>
  <c r="L370" i="4" s="1"/>
  <c r="N370" i="4" s="1"/>
  <c r="B379" i="4" s="1"/>
  <c r="D379" i="4" s="1"/>
  <c r="F379" i="4" s="1"/>
  <c r="H379" i="4" s="1"/>
  <c r="J379" i="4" s="1"/>
  <c r="L379" i="4" s="1"/>
  <c r="N379" i="4" s="1"/>
  <c r="B388" i="4" s="1"/>
  <c r="D388" i="4" s="1"/>
  <c r="F388" i="4" s="1"/>
  <c r="H388" i="4" s="1"/>
  <c r="J388" i="4" s="1"/>
  <c r="L388" i="4" s="1"/>
  <c r="N388" i="4" s="1"/>
  <c r="D429" i="4"/>
  <c r="F429" i="4" s="1"/>
  <c r="H429" i="4" s="1"/>
  <c r="J429" i="4" s="1"/>
  <c r="L429" i="4" s="1"/>
  <c r="N429" i="4" s="1"/>
  <c r="B438" i="4" s="1"/>
  <c r="D438" i="4" s="1"/>
  <c r="F438" i="4" s="1"/>
  <c r="H438" i="4" s="1"/>
  <c r="J438" i="4" s="1"/>
  <c r="L438" i="4" s="1"/>
  <c r="N438" i="4" s="1"/>
  <c r="B447" i="4" s="1"/>
  <c r="D447" i="4" s="1"/>
  <c r="F447" i="4" s="1"/>
  <c r="H447" i="4" s="1"/>
  <c r="J447" i="4" s="1"/>
  <c r="L447" i="4" s="1"/>
  <c r="N447" i="4" s="1"/>
  <c r="D547" i="4"/>
  <c r="F547" i="4" s="1"/>
  <c r="H547" i="4" s="1"/>
  <c r="J547" i="4" s="1"/>
  <c r="L547" i="4" s="1"/>
  <c r="N547" i="4" s="1"/>
  <c r="B556" i="4" s="1"/>
  <c r="D556" i="4" s="1"/>
  <c r="F556" i="4" s="1"/>
  <c r="H556" i="4" s="1"/>
  <c r="J556" i="4" s="1"/>
  <c r="L556" i="4" s="1"/>
  <c r="N556" i="4" s="1"/>
  <c r="B565" i="4" s="1"/>
  <c r="D565" i="4" s="1"/>
  <c r="F565" i="4" s="1"/>
  <c r="H565" i="4" s="1"/>
  <c r="J565" i="4" s="1"/>
  <c r="L565" i="4" s="1"/>
  <c r="N565" i="4" s="1"/>
  <c r="D665" i="4"/>
  <c r="F665" i="4" s="1"/>
  <c r="H665" i="4" s="1"/>
  <c r="J665" i="4" s="1"/>
  <c r="L665" i="4" s="1"/>
  <c r="N665" i="4" s="1"/>
  <c r="B674" i="4" s="1"/>
  <c r="D674" i="4" s="1"/>
  <c r="F674" i="4" s="1"/>
  <c r="H674" i="4" s="1"/>
  <c r="J674" i="4" s="1"/>
  <c r="L674" i="4" s="1"/>
  <c r="N674" i="4" s="1"/>
  <c r="B683" i="4" s="1"/>
  <c r="D683" i="4" s="1"/>
  <c r="F683" i="4" s="1"/>
  <c r="H683" i="4" s="1"/>
  <c r="J683" i="4" s="1"/>
  <c r="L683" i="4" s="1"/>
  <c r="N683" i="4" s="1"/>
  <c r="D134" i="4"/>
  <c r="F134" i="4" s="1"/>
  <c r="H134" i="4" s="1"/>
  <c r="J134" i="4" s="1"/>
  <c r="L134" i="4" s="1"/>
  <c r="N134" i="4" s="1"/>
  <c r="B143" i="4" s="1"/>
  <c r="D143" i="4" s="1"/>
  <c r="F143" i="4" s="1"/>
  <c r="H143" i="4" s="1"/>
  <c r="J143" i="4" s="1"/>
  <c r="L143" i="4" s="1"/>
  <c r="N143" i="4" s="1"/>
  <c r="B152" i="4" s="1"/>
  <c r="D152" i="4" s="1"/>
  <c r="F152" i="4" s="1"/>
  <c r="H152" i="4" s="1"/>
  <c r="J152" i="4" s="1"/>
  <c r="L152" i="4" s="1"/>
  <c r="N152" i="4" s="1"/>
  <c r="P236" i="4"/>
  <c r="P413" i="4"/>
  <c r="P118" i="4"/>
  <c r="P354" i="4"/>
  <c r="O666" i="3" l="1"/>
  <c r="M666" i="3"/>
  <c r="K666" i="3"/>
  <c r="I666" i="3"/>
  <c r="G666" i="3"/>
  <c r="E666" i="3"/>
  <c r="O606" i="3"/>
  <c r="M606" i="3"/>
  <c r="K606" i="3"/>
  <c r="I606" i="3"/>
  <c r="G606" i="3"/>
  <c r="E606" i="3"/>
  <c r="O546" i="3"/>
  <c r="M546" i="3"/>
  <c r="K546" i="3"/>
  <c r="I546" i="3"/>
  <c r="G546" i="3"/>
  <c r="E546" i="3"/>
  <c r="O486" i="3"/>
  <c r="M486" i="3"/>
  <c r="K486" i="3"/>
  <c r="I486" i="3"/>
  <c r="G486" i="3"/>
  <c r="E486" i="3"/>
  <c r="O426" i="3"/>
  <c r="M426" i="3"/>
  <c r="K426" i="3"/>
  <c r="I426" i="3"/>
  <c r="G426" i="3"/>
  <c r="E426" i="3"/>
  <c r="O366" i="3"/>
  <c r="M366" i="3"/>
  <c r="K366" i="3"/>
  <c r="I366" i="3"/>
  <c r="G366" i="3"/>
  <c r="E366" i="3"/>
  <c r="O306" i="3"/>
  <c r="M306" i="3"/>
  <c r="K306" i="3"/>
  <c r="I306" i="3"/>
  <c r="G306" i="3"/>
  <c r="E306" i="3"/>
  <c r="O246" i="3"/>
  <c r="M246" i="3"/>
  <c r="K246" i="3"/>
  <c r="I246" i="3"/>
  <c r="G246" i="3"/>
  <c r="E246" i="3"/>
  <c r="O186" i="3"/>
  <c r="M186" i="3"/>
  <c r="K186" i="3"/>
  <c r="I186" i="3"/>
  <c r="G186" i="3"/>
  <c r="E186" i="3"/>
  <c r="O126" i="3"/>
  <c r="M126" i="3"/>
  <c r="K126" i="3"/>
  <c r="I126" i="3"/>
  <c r="G126" i="3"/>
  <c r="E126" i="3"/>
  <c r="O66" i="3"/>
  <c r="M66" i="3"/>
  <c r="K66" i="3"/>
  <c r="I66" i="3"/>
  <c r="G66" i="3"/>
  <c r="E66" i="3"/>
  <c r="O6" i="3"/>
  <c r="M6" i="3"/>
  <c r="K6" i="3"/>
  <c r="I6" i="3"/>
  <c r="G6" i="3"/>
  <c r="E6" i="3"/>
  <c r="H1" i="3"/>
  <c r="N712" i="3" l="1"/>
  <c r="F712" i="3"/>
  <c r="L712" i="3"/>
  <c r="D712" i="3"/>
  <c r="J712" i="3"/>
  <c r="B712" i="3"/>
  <c r="H712" i="3"/>
  <c r="N703" i="3"/>
  <c r="F703" i="3"/>
  <c r="L703" i="3"/>
  <c r="D703" i="3"/>
  <c r="J703" i="3"/>
  <c r="B703" i="3"/>
  <c r="H703" i="3"/>
  <c r="N667" i="3"/>
  <c r="B676" i="3" s="1"/>
  <c r="D676" i="3" s="1"/>
  <c r="F676" i="3" s="1"/>
  <c r="H676" i="3" s="1"/>
  <c r="J676" i="3" s="1"/>
  <c r="L676" i="3" s="1"/>
  <c r="N676" i="3" s="1"/>
  <c r="B685" i="3" s="1"/>
  <c r="D685" i="3" s="1"/>
  <c r="F685" i="3" s="1"/>
  <c r="H685" i="3" s="1"/>
  <c r="J685" i="3" s="1"/>
  <c r="L685" i="3" s="1"/>
  <c r="N685" i="3" s="1"/>
  <c r="B694" i="3" s="1"/>
  <c r="D694" i="3" s="1"/>
  <c r="F694" i="3" s="1"/>
  <c r="H694" i="3" s="1"/>
  <c r="J694" i="3" s="1"/>
  <c r="L694" i="3" s="1"/>
  <c r="N694" i="3" s="1"/>
  <c r="F667" i="3"/>
  <c r="L667" i="3"/>
  <c r="D667" i="3"/>
  <c r="J667" i="3"/>
  <c r="B667" i="3"/>
  <c r="H667" i="3"/>
  <c r="J652" i="3"/>
  <c r="B652" i="3"/>
  <c r="H652" i="3"/>
  <c r="N652" i="3"/>
  <c r="F652" i="3"/>
  <c r="L652" i="3"/>
  <c r="D652" i="3"/>
  <c r="N643" i="3"/>
  <c r="F643" i="3"/>
  <c r="L643" i="3"/>
  <c r="D643" i="3"/>
  <c r="J643" i="3"/>
  <c r="B643" i="3"/>
  <c r="H643" i="3"/>
  <c r="N607" i="3"/>
  <c r="B616" i="3" s="1"/>
  <c r="D616" i="3" s="1"/>
  <c r="F616" i="3" s="1"/>
  <c r="H616" i="3" s="1"/>
  <c r="J616" i="3" s="1"/>
  <c r="L616" i="3" s="1"/>
  <c r="N616" i="3" s="1"/>
  <c r="B625" i="3" s="1"/>
  <c r="D625" i="3" s="1"/>
  <c r="F625" i="3" s="1"/>
  <c r="H625" i="3" s="1"/>
  <c r="J625" i="3" s="1"/>
  <c r="L625" i="3" s="1"/>
  <c r="N625" i="3" s="1"/>
  <c r="B634" i="3" s="1"/>
  <c r="D634" i="3" s="1"/>
  <c r="F634" i="3" s="1"/>
  <c r="H634" i="3" s="1"/>
  <c r="J634" i="3" s="1"/>
  <c r="L634" i="3" s="1"/>
  <c r="N634" i="3" s="1"/>
  <c r="F607" i="3"/>
  <c r="L607" i="3"/>
  <c r="D607" i="3"/>
  <c r="J607" i="3"/>
  <c r="B607" i="3"/>
  <c r="H607" i="3"/>
  <c r="N583" i="3"/>
  <c r="F583" i="3"/>
  <c r="L583" i="3"/>
  <c r="D583" i="3"/>
  <c r="J583" i="3"/>
  <c r="B583" i="3"/>
  <c r="H583" i="3"/>
  <c r="N592" i="3"/>
  <c r="F592" i="3"/>
  <c r="L592" i="3"/>
  <c r="D592" i="3"/>
  <c r="J592" i="3"/>
  <c r="B592" i="3"/>
  <c r="H592" i="3"/>
  <c r="N547" i="3"/>
  <c r="B556" i="3" s="1"/>
  <c r="D556" i="3" s="1"/>
  <c r="F556" i="3" s="1"/>
  <c r="H556" i="3" s="1"/>
  <c r="J556" i="3" s="1"/>
  <c r="L556" i="3" s="1"/>
  <c r="N556" i="3" s="1"/>
  <c r="B565" i="3" s="1"/>
  <c r="D565" i="3" s="1"/>
  <c r="F565" i="3" s="1"/>
  <c r="H565" i="3" s="1"/>
  <c r="J565" i="3" s="1"/>
  <c r="L565" i="3" s="1"/>
  <c r="N565" i="3" s="1"/>
  <c r="B574" i="3" s="1"/>
  <c r="D574" i="3" s="1"/>
  <c r="F574" i="3" s="1"/>
  <c r="H574" i="3" s="1"/>
  <c r="J574" i="3" s="1"/>
  <c r="L574" i="3" s="1"/>
  <c r="N574" i="3" s="1"/>
  <c r="F547" i="3"/>
  <c r="L547" i="3"/>
  <c r="D547" i="3"/>
  <c r="J547" i="3"/>
  <c r="B547" i="3"/>
  <c r="H547" i="3"/>
  <c r="N532" i="3"/>
  <c r="F532" i="3"/>
  <c r="L532" i="3"/>
  <c r="D532" i="3"/>
  <c r="J532" i="3"/>
  <c r="B532" i="3"/>
  <c r="H532" i="3"/>
  <c r="N523" i="3"/>
  <c r="F523" i="3"/>
  <c r="L523" i="3"/>
  <c r="D523" i="3"/>
  <c r="J523" i="3"/>
  <c r="B523" i="3"/>
  <c r="H523" i="3"/>
  <c r="N487" i="3"/>
  <c r="B496" i="3" s="1"/>
  <c r="D496" i="3" s="1"/>
  <c r="F496" i="3" s="1"/>
  <c r="H496" i="3" s="1"/>
  <c r="J496" i="3" s="1"/>
  <c r="L496" i="3" s="1"/>
  <c r="N496" i="3" s="1"/>
  <c r="B505" i="3" s="1"/>
  <c r="D505" i="3" s="1"/>
  <c r="F505" i="3" s="1"/>
  <c r="H505" i="3" s="1"/>
  <c r="J505" i="3" s="1"/>
  <c r="L505" i="3" s="1"/>
  <c r="N505" i="3" s="1"/>
  <c r="B514" i="3" s="1"/>
  <c r="D514" i="3" s="1"/>
  <c r="F514" i="3" s="1"/>
  <c r="H514" i="3" s="1"/>
  <c r="J514" i="3" s="1"/>
  <c r="L514" i="3" s="1"/>
  <c r="N514" i="3" s="1"/>
  <c r="F487" i="3"/>
  <c r="L487" i="3"/>
  <c r="D487" i="3"/>
  <c r="H487" i="3"/>
  <c r="J487" i="3"/>
  <c r="B487" i="3"/>
  <c r="N472" i="3"/>
  <c r="F472" i="3"/>
  <c r="J472" i="3"/>
  <c r="H472" i="3"/>
  <c r="L472" i="3"/>
  <c r="D472" i="3"/>
  <c r="B472" i="3"/>
  <c r="N463" i="3"/>
  <c r="F463" i="3"/>
  <c r="L463" i="3"/>
  <c r="D463" i="3"/>
  <c r="J463" i="3"/>
  <c r="B463" i="3"/>
  <c r="H463" i="3"/>
  <c r="N427" i="3"/>
  <c r="B436" i="3" s="1"/>
  <c r="D436" i="3" s="1"/>
  <c r="F436" i="3" s="1"/>
  <c r="H436" i="3" s="1"/>
  <c r="J436" i="3" s="1"/>
  <c r="L436" i="3" s="1"/>
  <c r="N436" i="3" s="1"/>
  <c r="B445" i="3" s="1"/>
  <c r="D445" i="3" s="1"/>
  <c r="F445" i="3" s="1"/>
  <c r="H445" i="3" s="1"/>
  <c r="J445" i="3" s="1"/>
  <c r="L445" i="3" s="1"/>
  <c r="N445" i="3" s="1"/>
  <c r="B454" i="3" s="1"/>
  <c r="D454" i="3" s="1"/>
  <c r="F454" i="3" s="1"/>
  <c r="H454" i="3" s="1"/>
  <c r="J454" i="3" s="1"/>
  <c r="L454" i="3" s="1"/>
  <c r="N454" i="3" s="1"/>
  <c r="F427" i="3"/>
  <c r="B427" i="3"/>
  <c r="L427" i="3"/>
  <c r="D427" i="3"/>
  <c r="J427" i="3"/>
  <c r="H427" i="3"/>
  <c r="N412" i="3"/>
  <c r="F412" i="3"/>
  <c r="L412" i="3"/>
  <c r="D412" i="3"/>
  <c r="H412" i="3"/>
  <c r="J412" i="3"/>
  <c r="B412" i="3"/>
  <c r="N403" i="3"/>
  <c r="F403" i="3"/>
  <c r="L403" i="3"/>
  <c r="D403" i="3"/>
  <c r="H403" i="3"/>
  <c r="J403" i="3"/>
  <c r="B403" i="3"/>
  <c r="N367" i="3"/>
  <c r="B376" i="3" s="1"/>
  <c r="D376" i="3" s="1"/>
  <c r="F376" i="3" s="1"/>
  <c r="H376" i="3" s="1"/>
  <c r="J376" i="3" s="1"/>
  <c r="L376" i="3" s="1"/>
  <c r="N376" i="3" s="1"/>
  <c r="B385" i="3" s="1"/>
  <c r="D385" i="3" s="1"/>
  <c r="F385" i="3" s="1"/>
  <c r="H385" i="3" s="1"/>
  <c r="J385" i="3" s="1"/>
  <c r="L385" i="3" s="1"/>
  <c r="N385" i="3" s="1"/>
  <c r="B394" i="3" s="1"/>
  <c r="D394" i="3" s="1"/>
  <c r="F394" i="3" s="1"/>
  <c r="H394" i="3" s="1"/>
  <c r="J394" i="3" s="1"/>
  <c r="L394" i="3" s="1"/>
  <c r="N394" i="3" s="1"/>
  <c r="F367" i="3"/>
  <c r="L367" i="3"/>
  <c r="D367" i="3"/>
  <c r="J367" i="3"/>
  <c r="B367" i="3"/>
  <c r="H367" i="3"/>
  <c r="N352" i="3"/>
  <c r="F352" i="3"/>
  <c r="L352" i="3"/>
  <c r="D352" i="3"/>
  <c r="J352" i="3"/>
  <c r="B352" i="3"/>
  <c r="H352" i="3"/>
  <c r="N343" i="3"/>
  <c r="F343" i="3"/>
  <c r="H343" i="3"/>
  <c r="L343" i="3"/>
  <c r="D343" i="3"/>
  <c r="J343" i="3"/>
  <c r="B343" i="3"/>
  <c r="N307" i="3"/>
  <c r="B316" i="3" s="1"/>
  <c r="D316" i="3" s="1"/>
  <c r="F316" i="3" s="1"/>
  <c r="H316" i="3" s="1"/>
  <c r="J316" i="3" s="1"/>
  <c r="L316" i="3" s="1"/>
  <c r="N316" i="3" s="1"/>
  <c r="B325" i="3" s="1"/>
  <c r="D325" i="3" s="1"/>
  <c r="F325" i="3" s="1"/>
  <c r="H325" i="3" s="1"/>
  <c r="J325" i="3" s="1"/>
  <c r="L325" i="3" s="1"/>
  <c r="N325" i="3" s="1"/>
  <c r="B334" i="3" s="1"/>
  <c r="D334" i="3" s="1"/>
  <c r="F334" i="3" s="1"/>
  <c r="H334" i="3" s="1"/>
  <c r="J334" i="3" s="1"/>
  <c r="L334" i="3" s="1"/>
  <c r="N334" i="3" s="1"/>
  <c r="F307" i="3"/>
  <c r="L307" i="3"/>
  <c r="D307" i="3"/>
  <c r="J307" i="3"/>
  <c r="B307" i="3"/>
  <c r="H307" i="3"/>
  <c r="N292" i="3"/>
  <c r="F292" i="3"/>
  <c r="L292" i="3"/>
  <c r="D292" i="3"/>
  <c r="J292" i="3"/>
  <c r="B292" i="3"/>
  <c r="H292" i="3"/>
  <c r="N283" i="3"/>
  <c r="F283" i="3"/>
  <c r="H283" i="3"/>
  <c r="L283" i="3"/>
  <c r="D283" i="3"/>
  <c r="B283" i="3"/>
  <c r="J283" i="3"/>
  <c r="N247" i="3"/>
  <c r="B256" i="3" s="1"/>
  <c r="D256" i="3" s="1"/>
  <c r="F256" i="3" s="1"/>
  <c r="H256" i="3" s="1"/>
  <c r="J256" i="3" s="1"/>
  <c r="L256" i="3" s="1"/>
  <c r="N256" i="3" s="1"/>
  <c r="B265" i="3" s="1"/>
  <c r="D265" i="3" s="1"/>
  <c r="F265" i="3" s="1"/>
  <c r="H265" i="3" s="1"/>
  <c r="J265" i="3" s="1"/>
  <c r="L265" i="3" s="1"/>
  <c r="N265" i="3" s="1"/>
  <c r="B274" i="3" s="1"/>
  <c r="D274" i="3" s="1"/>
  <c r="F274" i="3" s="1"/>
  <c r="H274" i="3" s="1"/>
  <c r="J274" i="3" s="1"/>
  <c r="L274" i="3" s="1"/>
  <c r="N274" i="3" s="1"/>
  <c r="F247" i="3"/>
  <c r="L247" i="3"/>
  <c r="D247" i="3"/>
  <c r="J247" i="3"/>
  <c r="B247" i="3"/>
  <c r="H247" i="3"/>
  <c r="N232" i="3"/>
  <c r="F232" i="3"/>
  <c r="L232" i="3"/>
  <c r="D232" i="3"/>
  <c r="J232" i="3"/>
  <c r="B232" i="3"/>
  <c r="H232" i="3"/>
  <c r="N223" i="3"/>
  <c r="F223" i="3"/>
  <c r="J223" i="3"/>
  <c r="H223" i="3"/>
  <c r="L223" i="3"/>
  <c r="D223" i="3"/>
  <c r="B223" i="3"/>
  <c r="N187" i="3"/>
  <c r="B196" i="3" s="1"/>
  <c r="D196" i="3" s="1"/>
  <c r="F196" i="3" s="1"/>
  <c r="H196" i="3" s="1"/>
  <c r="J196" i="3" s="1"/>
  <c r="L196" i="3" s="1"/>
  <c r="N196" i="3" s="1"/>
  <c r="B205" i="3" s="1"/>
  <c r="D205" i="3" s="1"/>
  <c r="F205" i="3" s="1"/>
  <c r="H205" i="3" s="1"/>
  <c r="J205" i="3" s="1"/>
  <c r="L205" i="3" s="1"/>
  <c r="N205" i="3" s="1"/>
  <c r="B214" i="3" s="1"/>
  <c r="D214" i="3" s="1"/>
  <c r="F214" i="3" s="1"/>
  <c r="H214" i="3" s="1"/>
  <c r="J214" i="3" s="1"/>
  <c r="L214" i="3" s="1"/>
  <c r="N214" i="3" s="1"/>
  <c r="F187" i="3"/>
  <c r="L187" i="3"/>
  <c r="D187" i="3"/>
  <c r="J187" i="3"/>
  <c r="B187" i="3"/>
  <c r="H187" i="3"/>
  <c r="N172" i="3"/>
  <c r="F172" i="3"/>
  <c r="L172" i="3"/>
  <c r="D172" i="3"/>
  <c r="J172" i="3"/>
  <c r="B172" i="3"/>
  <c r="H172" i="3"/>
  <c r="N163" i="3"/>
  <c r="F163" i="3"/>
  <c r="L163" i="3"/>
  <c r="D163" i="3"/>
  <c r="H163" i="3"/>
  <c r="J163" i="3"/>
  <c r="B163" i="3"/>
  <c r="N127" i="3"/>
  <c r="B136" i="3" s="1"/>
  <c r="D136" i="3" s="1"/>
  <c r="F136" i="3" s="1"/>
  <c r="H136" i="3" s="1"/>
  <c r="J136" i="3" s="1"/>
  <c r="L136" i="3" s="1"/>
  <c r="N136" i="3" s="1"/>
  <c r="B145" i="3" s="1"/>
  <c r="D145" i="3" s="1"/>
  <c r="F145" i="3" s="1"/>
  <c r="H145" i="3" s="1"/>
  <c r="J145" i="3" s="1"/>
  <c r="L145" i="3" s="1"/>
  <c r="N145" i="3" s="1"/>
  <c r="B154" i="3" s="1"/>
  <c r="D154" i="3" s="1"/>
  <c r="F154" i="3" s="1"/>
  <c r="H154" i="3" s="1"/>
  <c r="J154" i="3" s="1"/>
  <c r="L154" i="3" s="1"/>
  <c r="N154" i="3" s="1"/>
  <c r="F127" i="3"/>
  <c r="B127" i="3"/>
  <c r="L127" i="3"/>
  <c r="D127" i="3"/>
  <c r="J127" i="3"/>
  <c r="H127" i="3"/>
  <c r="N112" i="3"/>
  <c r="F112" i="3"/>
  <c r="B112" i="3"/>
  <c r="L112" i="3"/>
  <c r="D112" i="3"/>
  <c r="J112" i="3"/>
  <c r="H112" i="3"/>
  <c r="N103" i="3"/>
  <c r="F103" i="3"/>
  <c r="L103" i="3"/>
  <c r="D103" i="3"/>
  <c r="H103" i="3"/>
  <c r="J103" i="3"/>
  <c r="B103" i="3"/>
  <c r="N67" i="3"/>
  <c r="B76" i="3" s="1"/>
  <c r="D76" i="3" s="1"/>
  <c r="F76" i="3" s="1"/>
  <c r="H76" i="3" s="1"/>
  <c r="J76" i="3" s="1"/>
  <c r="L76" i="3" s="1"/>
  <c r="N76" i="3" s="1"/>
  <c r="B85" i="3" s="1"/>
  <c r="D85" i="3" s="1"/>
  <c r="F85" i="3" s="1"/>
  <c r="H85" i="3" s="1"/>
  <c r="J85" i="3" s="1"/>
  <c r="L85" i="3" s="1"/>
  <c r="N85" i="3" s="1"/>
  <c r="B94" i="3" s="1"/>
  <c r="D94" i="3" s="1"/>
  <c r="F94" i="3" s="1"/>
  <c r="H94" i="3" s="1"/>
  <c r="J94" i="3" s="1"/>
  <c r="L94" i="3" s="1"/>
  <c r="N94" i="3" s="1"/>
  <c r="F67" i="3"/>
  <c r="L67" i="3"/>
  <c r="D67" i="3"/>
  <c r="J67" i="3"/>
  <c r="B67" i="3"/>
  <c r="H67" i="3"/>
  <c r="N52" i="3"/>
  <c r="F52" i="3"/>
  <c r="L52" i="3"/>
  <c r="D52" i="3"/>
  <c r="J52" i="3"/>
  <c r="B52" i="3"/>
  <c r="H52" i="3"/>
  <c r="N43" i="3"/>
  <c r="F43" i="3"/>
  <c r="L43" i="3"/>
  <c r="D43" i="3"/>
  <c r="J43" i="3"/>
  <c r="B43" i="3"/>
  <c r="H43" i="3"/>
  <c r="N7" i="3"/>
  <c r="B16" i="3" s="1"/>
  <c r="D16" i="3" s="1"/>
  <c r="F16" i="3" s="1"/>
  <c r="H16" i="3" s="1"/>
  <c r="J16" i="3" s="1"/>
  <c r="L16" i="3" s="1"/>
  <c r="N16" i="3" s="1"/>
  <c r="B25" i="3" s="1"/>
  <c r="D25" i="3" s="1"/>
  <c r="F25" i="3" s="1"/>
  <c r="H25" i="3" s="1"/>
  <c r="J25" i="3" s="1"/>
  <c r="L25" i="3" s="1"/>
  <c r="N25" i="3" s="1"/>
  <c r="B34" i="3" s="1"/>
  <c r="D34" i="3" s="1"/>
  <c r="F34" i="3" s="1"/>
  <c r="H34" i="3" s="1"/>
  <c r="J34" i="3" s="1"/>
  <c r="L34" i="3" s="1"/>
  <c r="N34" i="3" s="1"/>
  <c r="F7" i="3"/>
  <c r="J7" i="3"/>
  <c r="H7" i="3"/>
  <c r="L7" i="3"/>
  <c r="D7" i="3"/>
  <c r="B7" i="3"/>
  <c r="P239" i="3" l="1"/>
  <c r="P359" i="3"/>
  <c r="P119" i="3"/>
  <c r="P419" i="3"/>
  <c r="G23" i="1" l="1"/>
  <c r="G22" i="1"/>
  <c r="B707" i="3" l="1"/>
  <c r="C707" i="3" s="1"/>
  <c r="I707" i="3"/>
  <c r="G707" i="3"/>
  <c r="E707" i="3"/>
  <c r="B29" i="4"/>
  <c r="C29" i="4" s="1"/>
  <c r="N11" i="4"/>
  <c r="O11" i="4" s="1"/>
  <c r="O115" i="4"/>
  <c r="N97" i="4"/>
  <c r="O97" i="4" s="1"/>
  <c r="B79" i="4"/>
  <c r="C79" i="4" s="1"/>
  <c r="B165" i="4"/>
  <c r="C165" i="4" s="1"/>
  <c r="N147" i="4"/>
  <c r="O147" i="4" s="1"/>
  <c r="N38" i="4"/>
  <c r="O38" i="4" s="1"/>
  <c r="B20" i="4"/>
  <c r="C20" i="4" s="1"/>
  <c r="N88" i="4"/>
  <c r="O88" i="4" s="1"/>
  <c r="B156" i="4"/>
  <c r="C156" i="4" s="1"/>
  <c r="N138" i="4"/>
  <c r="O138" i="4" s="1"/>
  <c r="O233" i="4"/>
  <c r="N206" i="4"/>
  <c r="O206" i="4" s="1"/>
  <c r="N29" i="4"/>
  <c r="O29" i="4" s="1"/>
  <c r="I20" i="4"/>
  <c r="B97" i="4"/>
  <c r="C97" i="4" s="1"/>
  <c r="N79" i="4"/>
  <c r="O79" i="4" s="1"/>
  <c r="O165" i="4"/>
  <c r="B147" i="4"/>
  <c r="C147" i="4" s="1"/>
  <c r="N129" i="4"/>
  <c r="O129" i="4" s="1"/>
  <c r="B47" i="4"/>
  <c r="C47" i="4" s="1"/>
  <c r="B38" i="4"/>
  <c r="C38" i="4" s="1"/>
  <c r="N20" i="4"/>
  <c r="O20" i="4" s="1"/>
  <c r="O106" i="4"/>
  <c r="B88" i="4"/>
  <c r="C88" i="4" s="1"/>
  <c r="N70" i="4"/>
  <c r="O70" i="4" s="1"/>
  <c r="N156" i="4"/>
  <c r="O156" i="4" s="1"/>
  <c r="B138" i="4"/>
  <c r="C138" i="4" s="1"/>
  <c r="B206" i="4"/>
  <c r="C206" i="4" s="1"/>
  <c r="B283" i="4"/>
  <c r="C283" i="4" s="1"/>
  <c r="N265" i="4"/>
  <c r="O265" i="4" s="1"/>
  <c r="B342" i="4"/>
  <c r="C342" i="4" s="1"/>
  <c r="N324" i="4"/>
  <c r="O324" i="4" s="1"/>
  <c r="N215" i="4"/>
  <c r="O215" i="4" s="1"/>
  <c r="N197" i="4"/>
  <c r="O197" i="4" s="1"/>
  <c r="B274" i="4"/>
  <c r="C274" i="4" s="1"/>
  <c r="N256" i="4"/>
  <c r="O256" i="4" s="1"/>
  <c r="B333" i="4"/>
  <c r="C333" i="4" s="1"/>
  <c r="N315" i="4"/>
  <c r="O315" i="4" s="1"/>
  <c r="N383" i="4"/>
  <c r="O383" i="4" s="1"/>
  <c r="B224" i="4"/>
  <c r="C224" i="4" s="1"/>
  <c r="N188" i="4"/>
  <c r="O188" i="4" s="1"/>
  <c r="N283" i="4"/>
  <c r="O283" i="4" s="1"/>
  <c r="B265" i="4"/>
  <c r="C265" i="4" s="1"/>
  <c r="N247" i="4"/>
  <c r="O247" i="4" s="1"/>
  <c r="B324" i="4"/>
  <c r="C324" i="4" s="1"/>
  <c r="B215" i="4"/>
  <c r="C215" i="4" s="1"/>
  <c r="B197" i="4"/>
  <c r="C197" i="4" s="1"/>
  <c r="N274" i="4"/>
  <c r="O274" i="4" s="1"/>
  <c r="B256" i="4"/>
  <c r="C256" i="4" s="1"/>
  <c r="O351" i="4"/>
  <c r="N333" i="4"/>
  <c r="O333" i="4" s="1"/>
  <c r="B315" i="4"/>
  <c r="C315" i="4" s="1"/>
  <c r="O410" i="4"/>
  <c r="B401" i="4"/>
  <c r="C401" i="4" s="1"/>
  <c r="B383" i="4"/>
  <c r="C383" i="4" s="1"/>
  <c r="B442" i="4"/>
  <c r="C442" i="4" s="1"/>
  <c r="B510" i="4"/>
  <c r="C510" i="4" s="1"/>
  <c r="N492" i="4"/>
  <c r="O492" i="4" s="1"/>
  <c r="B560" i="4"/>
  <c r="C560" i="4" s="1"/>
  <c r="N392" i="4"/>
  <c r="O392" i="4" s="1"/>
  <c r="N374" i="4"/>
  <c r="O374" i="4" s="1"/>
  <c r="N451" i="4"/>
  <c r="O451" i="4" s="1"/>
  <c r="B433" i="4"/>
  <c r="C433" i="4" s="1"/>
  <c r="B519" i="4"/>
  <c r="C519" i="4" s="1"/>
  <c r="B501" i="4"/>
  <c r="C501" i="4" s="1"/>
  <c r="N483" i="4"/>
  <c r="O483" i="4" s="1"/>
  <c r="N569" i="4"/>
  <c r="O569" i="4" s="1"/>
  <c r="B551" i="4"/>
  <c r="C551" i="4" s="1"/>
  <c r="B619" i="4"/>
  <c r="C619" i="4" s="1"/>
  <c r="N601" i="4"/>
  <c r="O601" i="4" s="1"/>
  <c r="N306" i="4"/>
  <c r="O306" i="4" s="1"/>
  <c r="N365" i="4"/>
  <c r="O365" i="4" s="1"/>
  <c r="O469" i="4"/>
  <c r="B460" i="4"/>
  <c r="C460" i="4" s="1"/>
  <c r="N442" i="4"/>
  <c r="O442" i="4" s="1"/>
  <c r="N510" i="4"/>
  <c r="O510" i="4" s="1"/>
  <c r="B492" i="4"/>
  <c r="C492" i="4" s="1"/>
  <c r="N560" i="4"/>
  <c r="O560" i="4" s="1"/>
  <c r="B392" i="4"/>
  <c r="C392" i="4" s="1"/>
  <c r="B374" i="4"/>
  <c r="C374" i="4" s="1"/>
  <c r="B451" i="4"/>
  <c r="C451" i="4" s="1"/>
  <c r="N433" i="4"/>
  <c r="O433" i="4" s="1"/>
  <c r="O528" i="4"/>
  <c r="N501" i="4"/>
  <c r="O501" i="4" s="1"/>
  <c r="B578" i="4"/>
  <c r="C578" i="4" s="1"/>
  <c r="B569" i="4"/>
  <c r="C569" i="4" s="1"/>
  <c r="N551" i="4"/>
  <c r="O551" i="4" s="1"/>
  <c r="B637" i="4"/>
  <c r="C637" i="4" s="1"/>
  <c r="N619" i="4"/>
  <c r="O619" i="4" s="1"/>
  <c r="B696" i="4"/>
  <c r="C696" i="4" s="1"/>
  <c r="B628" i="4"/>
  <c r="C628" i="4" s="1"/>
  <c r="B610" i="4"/>
  <c r="C610" i="4" s="1"/>
  <c r="N687" i="4"/>
  <c r="O687" i="4" s="1"/>
  <c r="K669" i="4"/>
  <c r="B669" i="4"/>
  <c r="C669" i="4" s="1"/>
  <c r="B698" i="3"/>
  <c r="C698" i="3" s="1"/>
  <c r="N680" i="3"/>
  <c r="B647" i="3"/>
  <c r="C647" i="3" s="1"/>
  <c r="O705" i="4"/>
  <c r="N678" i="4"/>
  <c r="O678" i="4" s="1"/>
  <c r="B689" i="3"/>
  <c r="C689" i="3" s="1"/>
  <c r="N671" i="3"/>
  <c r="O671" i="3" s="1"/>
  <c r="B638" i="3"/>
  <c r="C638" i="3" s="1"/>
  <c r="N628" i="4"/>
  <c r="O628" i="4" s="1"/>
  <c r="N610" i="4"/>
  <c r="O610" i="4" s="1"/>
  <c r="B687" i="4"/>
  <c r="C687" i="4" s="1"/>
  <c r="N669" i="4"/>
  <c r="O669" i="4" s="1"/>
  <c r="N698" i="3"/>
  <c r="O698" i="3" s="1"/>
  <c r="B680" i="3"/>
  <c r="C680" i="3" s="1"/>
  <c r="B629" i="3"/>
  <c r="C629" i="3" s="1"/>
  <c r="N611" i="3"/>
  <c r="O611" i="3" s="1"/>
  <c r="N542" i="4"/>
  <c r="O542" i="4" s="1"/>
  <c r="B678" i="4"/>
  <c r="C678" i="4" s="1"/>
  <c r="N660" i="4"/>
  <c r="O660" i="4" s="1"/>
  <c r="N689" i="3"/>
  <c r="O689" i="3" s="1"/>
  <c r="N638" i="3"/>
  <c r="O638" i="3" s="1"/>
  <c r="B620" i="3"/>
  <c r="C620" i="3" s="1"/>
  <c r="B578" i="3"/>
  <c r="C578" i="3" s="1"/>
  <c r="N560" i="3"/>
  <c r="O560" i="3" s="1"/>
  <c r="B518" i="3"/>
  <c r="C518" i="3" s="1"/>
  <c r="N500" i="3"/>
  <c r="O500" i="3" s="1"/>
  <c r="B467" i="3"/>
  <c r="C467" i="3" s="1"/>
  <c r="N449" i="3"/>
  <c r="O449" i="3" s="1"/>
  <c r="B407" i="3"/>
  <c r="C407" i="3" s="1"/>
  <c r="N380" i="3"/>
  <c r="O380" i="3" s="1"/>
  <c r="B338" i="3"/>
  <c r="C338" i="3" s="1"/>
  <c r="N320" i="3"/>
  <c r="O320" i="3" s="1"/>
  <c r="B287" i="3"/>
  <c r="C287" i="3" s="1"/>
  <c r="N269" i="3"/>
  <c r="O269" i="3" s="1"/>
  <c r="N209" i="3"/>
  <c r="O209" i="3" s="1"/>
  <c r="N158" i="3"/>
  <c r="O158" i="3" s="1"/>
  <c r="B140" i="3"/>
  <c r="C140" i="3" s="1"/>
  <c r="B587" i="3"/>
  <c r="C587" i="3" s="1"/>
  <c r="B569" i="3"/>
  <c r="C569" i="3" s="1"/>
  <c r="N551" i="3"/>
  <c r="O551" i="3" s="1"/>
  <c r="B509" i="3"/>
  <c r="C509" i="3" s="1"/>
  <c r="N491" i="3"/>
  <c r="O491" i="3" s="1"/>
  <c r="B458" i="3"/>
  <c r="C458" i="3" s="1"/>
  <c r="N440" i="3"/>
  <c r="O440" i="3" s="1"/>
  <c r="B389" i="3"/>
  <c r="C389" i="3" s="1"/>
  <c r="N371" i="3"/>
  <c r="O371" i="3" s="1"/>
  <c r="B347" i="3"/>
  <c r="C347" i="3" s="1"/>
  <c r="B329" i="3"/>
  <c r="C329" i="3" s="1"/>
  <c r="N311" i="3"/>
  <c r="O311" i="3" s="1"/>
  <c r="B278" i="3"/>
  <c r="C278" i="3" s="1"/>
  <c r="N260" i="3"/>
  <c r="O260" i="3" s="1"/>
  <c r="B218" i="3"/>
  <c r="C218" i="3" s="1"/>
  <c r="N200" i="3"/>
  <c r="O200" i="3" s="1"/>
  <c r="B167" i="3"/>
  <c r="C167" i="3" s="1"/>
  <c r="N149" i="3"/>
  <c r="O149" i="3" s="1"/>
  <c r="N629" i="3"/>
  <c r="O629" i="3" s="1"/>
  <c r="N620" i="3"/>
  <c r="O620" i="3" s="1"/>
  <c r="N578" i="3"/>
  <c r="O578" i="3" s="1"/>
  <c r="B560" i="3"/>
  <c r="C560" i="3" s="1"/>
  <c r="N518" i="3"/>
  <c r="O518" i="3" s="1"/>
  <c r="B500" i="3"/>
  <c r="C500" i="3" s="1"/>
  <c r="B449" i="3"/>
  <c r="C449" i="3" s="1"/>
  <c r="B380" i="3"/>
  <c r="C380" i="3" s="1"/>
  <c r="N338" i="3"/>
  <c r="O338" i="3" s="1"/>
  <c r="B320" i="3"/>
  <c r="C320" i="3" s="1"/>
  <c r="N287" i="3"/>
  <c r="O287" i="3" s="1"/>
  <c r="B269" i="3"/>
  <c r="C269" i="3" s="1"/>
  <c r="N251" i="3"/>
  <c r="O251" i="3" s="1"/>
  <c r="B227" i="3"/>
  <c r="C227" i="3" s="1"/>
  <c r="B209" i="3"/>
  <c r="C209" i="3" s="1"/>
  <c r="N191" i="3"/>
  <c r="O191" i="3" s="1"/>
  <c r="B158" i="3"/>
  <c r="C158" i="3" s="1"/>
  <c r="N140" i="3"/>
  <c r="O140" i="3" s="1"/>
  <c r="N569" i="3"/>
  <c r="O569" i="3" s="1"/>
  <c r="B527" i="3"/>
  <c r="C527" i="3" s="1"/>
  <c r="N509" i="3"/>
  <c r="O509" i="3" s="1"/>
  <c r="N458" i="3"/>
  <c r="O458" i="3" s="1"/>
  <c r="B440" i="3"/>
  <c r="C440" i="3" s="1"/>
  <c r="N389" i="3"/>
  <c r="O389" i="3" s="1"/>
  <c r="N329" i="3"/>
  <c r="O329" i="3" s="1"/>
  <c r="N278" i="3"/>
  <c r="O278" i="3" s="1"/>
  <c r="B260" i="3"/>
  <c r="C260" i="3" s="1"/>
  <c r="N218" i="3"/>
  <c r="O218" i="3" s="1"/>
  <c r="B200" i="3"/>
  <c r="C200" i="3" s="1"/>
  <c r="B149" i="3"/>
  <c r="C149" i="3" s="1"/>
  <c r="N131" i="3"/>
  <c r="O131" i="3" s="1"/>
  <c r="B89" i="3"/>
  <c r="C89" i="3" s="1"/>
  <c r="N71" i="3"/>
  <c r="O71" i="3" s="1"/>
  <c r="B29" i="3"/>
  <c r="C29" i="3" s="1"/>
  <c r="N11" i="3"/>
  <c r="O11" i="3" s="1"/>
  <c r="N98" i="3"/>
  <c r="O98" i="3" s="1"/>
  <c r="B80" i="3"/>
  <c r="C80" i="3" s="1"/>
  <c r="N38" i="3"/>
  <c r="O38" i="3" s="1"/>
  <c r="B20" i="3"/>
  <c r="C20" i="3" s="1"/>
  <c r="N89" i="3"/>
  <c r="O89" i="3" s="1"/>
  <c r="B47" i="3"/>
  <c r="C47" i="3" s="1"/>
  <c r="N29" i="3"/>
  <c r="O29" i="3" s="1"/>
  <c r="N20" i="3"/>
  <c r="O20" i="3" s="1"/>
  <c r="B98" i="3"/>
  <c r="C98" i="3" s="1"/>
  <c r="N80" i="3"/>
  <c r="O80" i="3" s="1"/>
  <c r="B38" i="3"/>
  <c r="C38" i="3" s="1"/>
  <c r="M29" i="3"/>
  <c r="M38" i="3"/>
  <c r="G89" i="3"/>
  <c r="E98" i="3"/>
  <c r="G80" i="3"/>
  <c r="E89" i="3"/>
  <c r="K98" i="3"/>
  <c r="M98" i="3"/>
  <c r="K20" i="3"/>
  <c r="M20" i="3"/>
  <c r="M80" i="3"/>
  <c r="M140" i="3"/>
  <c r="G167" i="3"/>
  <c r="M191" i="3"/>
  <c r="G218" i="3"/>
  <c r="K260" i="3"/>
  <c r="I269" i="3"/>
  <c r="G389" i="3"/>
  <c r="G458" i="3"/>
  <c r="E467" i="3"/>
  <c r="K491" i="3"/>
  <c r="I500" i="3"/>
  <c r="M578" i="3"/>
  <c r="G587" i="3"/>
  <c r="E260" i="3"/>
  <c r="K269" i="3"/>
  <c r="I278" i="3"/>
  <c r="E527" i="3"/>
  <c r="G620" i="3"/>
  <c r="G629" i="3"/>
  <c r="G149" i="3"/>
  <c r="E158" i="3"/>
  <c r="M269" i="3"/>
  <c r="M320" i="3"/>
  <c r="M380" i="3"/>
  <c r="G527" i="3"/>
  <c r="E560" i="3"/>
  <c r="K569" i="3"/>
  <c r="I578" i="3"/>
  <c r="K587" i="3"/>
  <c r="G209" i="3"/>
  <c r="E218" i="3"/>
  <c r="G227" i="3"/>
  <c r="M329" i="3"/>
  <c r="M89" i="3"/>
  <c r="K11" i="3"/>
  <c r="I20" i="3"/>
  <c r="M11" i="3"/>
  <c r="I29" i="3"/>
  <c r="E47" i="3"/>
  <c r="K80" i="3"/>
  <c r="I89" i="3"/>
  <c r="G278" i="3"/>
  <c r="E287" i="3"/>
  <c r="K311" i="3"/>
  <c r="I320" i="3"/>
  <c r="G509" i="3"/>
  <c r="E518" i="3"/>
  <c r="E629" i="3"/>
  <c r="G140" i="3"/>
  <c r="E149" i="3"/>
  <c r="K158" i="3"/>
  <c r="E200" i="3"/>
  <c r="K209" i="3"/>
  <c r="I218" i="3"/>
  <c r="M260" i="3"/>
  <c r="G287" i="3"/>
  <c r="K320" i="3"/>
  <c r="I329" i="3"/>
  <c r="K380" i="3"/>
  <c r="I389" i="3"/>
  <c r="G407" i="3"/>
  <c r="E440" i="3"/>
  <c r="K449" i="3"/>
  <c r="I458" i="3"/>
  <c r="K500" i="3"/>
  <c r="I509" i="3"/>
  <c r="M158" i="3"/>
  <c r="G20" i="3"/>
  <c r="E29" i="3"/>
  <c r="K38" i="3"/>
  <c r="I47" i="3"/>
  <c r="G29" i="3"/>
  <c r="E38" i="3"/>
  <c r="K47" i="3"/>
  <c r="I80" i="3"/>
  <c r="G38" i="3"/>
  <c r="M71" i="3"/>
  <c r="G98" i="3"/>
  <c r="M287" i="3"/>
  <c r="G329" i="3"/>
  <c r="E338" i="3"/>
  <c r="M518" i="3"/>
  <c r="I560" i="3"/>
  <c r="M149" i="3"/>
  <c r="M200" i="3"/>
  <c r="M311" i="3"/>
  <c r="G338" i="3"/>
  <c r="M371" i="3"/>
  <c r="M440" i="3"/>
  <c r="M491" i="3"/>
  <c r="G518" i="3"/>
  <c r="K560" i="3"/>
  <c r="I569" i="3"/>
  <c r="G200" i="3"/>
  <c r="E209" i="3"/>
  <c r="K218" i="3"/>
  <c r="M449" i="3"/>
  <c r="M500" i="3"/>
  <c r="K140" i="3"/>
  <c r="I149" i="3"/>
  <c r="I38" i="3"/>
  <c r="I98" i="3"/>
  <c r="I158" i="3"/>
  <c r="I209" i="3"/>
  <c r="K371" i="3"/>
  <c r="K440" i="3"/>
  <c r="E578" i="3"/>
  <c r="G578" i="3"/>
  <c r="I140" i="3"/>
  <c r="G260" i="3"/>
  <c r="K278" i="3"/>
  <c r="G311" i="3"/>
  <c r="K329" i="3"/>
  <c r="K389" i="3"/>
  <c r="G158" i="3"/>
  <c r="K191" i="3"/>
  <c r="I260" i="3"/>
  <c r="G269" i="3"/>
  <c r="M278" i="3"/>
  <c r="E329" i="3"/>
  <c r="E347" i="3"/>
  <c r="K407" i="3"/>
  <c r="I440" i="3"/>
  <c r="M509" i="3"/>
  <c r="G560" i="3"/>
  <c r="E569" i="3"/>
  <c r="K578" i="3"/>
  <c r="E587" i="3"/>
  <c r="G638" i="3"/>
  <c r="E647" i="3"/>
  <c r="K671" i="3"/>
  <c r="I680" i="3"/>
  <c r="M669" i="4"/>
  <c r="K678" i="4"/>
  <c r="I696" i="4"/>
  <c r="E637" i="4"/>
  <c r="M620" i="3"/>
  <c r="M671" i="3"/>
  <c r="G698" i="3"/>
  <c r="M629" i="3"/>
  <c r="M680" i="3"/>
  <c r="M687" i="4"/>
  <c r="I619" i="4"/>
  <c r="M689" i="3"/>
  <c r="M551" i="4"/>
  <c r="M628" i="4"/>
  <c r="G47" i="3"/>
  <c r="I380" i="3"/>
  <c r="I449" i="3"/>
  <c r="M551" i="3"/>
  <c r="I587" i="3"/>
  <c r="E227" i="3"/>
  <c r="G440" i="3"/>
  <c r="K458" i="3"/>
  <c r="K509" i="3"/>
  <c r="I311" i="3"/>
  <c r="G320" i="3"/>
  <c r="E389" i="3"/>
  <c r="G449" i="3"/>
  <c r="E458" i="3"/>
  <c r="M569" i="3"/>
  <c r="M587" i="3"/>
  <c r="G689" i="3"/>
  <c r="E698" i="3"/>
  <c r="I687" i="4"/>
  <c r="K660" i="4"/>
  <c r="E638" i="3"/>
  <c r="G551" i="4"/>
  <c r="E560" i="4"/>
  <c r="M510" i="4"/>
  <c r="M365" i="4"/>
  <c r="K374" i="4"/>
  <c r="K392" i="4"/>
  <c r="M315" i="4"/>
  <c r="G560" i="4"/>
  <c r="E569" i="4"/>
  <c r="E578" i="4"/>
  <c r="G510" i="4"/>
  <c r="E20" i="3"/>
  <c r="E80" i="3"/>
  <c r="E140" i="3"/>
  <c r="I227" i="3"/>
  <c r="E269" i="3"/>
  <c r="I287" i="3"/>
  <c r="E320" i="3"/>
  <c r="I338" i="3"/>
  <c r="E380" i="3"/>
  <c r="I407" i="3"/>
  <c r="E167" i="3"/>
  <c r="I200" i="3"/>
  <c r="K287" i="3"/>
  <c r="G380" i="3"/>
  <c r="M389" i="3"/>
  <c r="M458" i="3"/>
  <c r="I491" i="3"/>
  <c r="M698" i="3"/>
  <c r="E619" i="4"/>
  <c r="I660" i="4"/>
  <c r="G669" i="4"/>
  <c r="E678" i="4"/>
  <c r="G610" i="4"/>
  <c r="G628" i="4"/>
  <c r="I669" i="4"/>
  <c r="M638" i="3"/>
  <c r="I671" i="3"/>
  <c r="M660" i="4"/>
  <c r="I678" i="4"/>
  <c r="G696" i="4"/>
  <c r="K610" i="4"/>
  <c r="K628" i="4"/>
  <c r="I610" i="4"/>
  <c r="M560" i="4"/>
  <c r="K569" i="4"/>
  <c r="K578" i="4"/>
  <c r="K483" i="4"/>
  <c r="K29" i="3"/>
  <c r="K89" i="3"/>
  <c r="K149" i="3"/>
  <c r="K200" i="3"/>
  <c r="M338" i="3"/>
  <c r="E407" i="3"/>
  <c r="G569" i="3"/>
  <c r="M209" i="3"/>
  <c r="E449" i="3"/>
  <c r="E500" i="3"/>
  <c r="I518" i="3"/>
  <c r="M560" i="3"/>
  <c r="I620" i="3"/>
  <c r="M218" i="3"/>
  <c r="E278" i="3"/>
  <c r="K338" i="3"/>
  <c r="G500" i="3"/>
  <c r="E509" i="3"/>
  <c r="K518" i="3"/>
  <c r="K620" i="3"/>
  <c r="I629" i="3"/>
  <c r="E669" i="4"/>
  <c r="M619" i="4"/>
  <c r="E620" i="3"/>
  <c r="K629" i="3"/>
  <c r="I638" i="3"/>
  <c r="K680" i="3"/>
  <c r="I689" i="3"/>
  <c r="M678" i="4"/>
  <c r="K687" i="4"/>
  <c r="I551" i="4"/>
  <c r="K638" i="3"/>
  <c r="E680" i="3"/>
  <c r="K689" i="3"/>
  <c r="I698" i="3"/>
  <c r="G678" i="4"/>
  <c r="E687" i="4"/>
  <c r="E696" i="4"/>
  <c r="G680" i="3"/>
  <c r="E689" i="3"/>
  <c r="K698" i="3"/>
  <c r="G687" i="4"/>
  <c r="E551" i="4"/>
  <c r="G619" i="4"/>
  <c r="E628" i="4"/>
  <c r="I492" i="4"/>
  <c r="M442" i="4"/>
  <c r="K451" i="4"/>
  <c r="M483" i="4"/>
  <c r="K492" i="4"/>
  <c r="E442" i="4"/>
  <c r="M569" i="4"/>
  <c r="G442" i="4"/>
  <c r="E451" i="4"/>
  <c r="E374" i="4"/>
  <c r="G306" i="4"/>
  <c r="E610" i="4"/>
  <c r="G569" i="4"/>
  <c r="G578" i="4"/>
  <c r="E492" i="4"/>
  <c r="G451" i="4"/>
  <c r="E460" i="4"/>
  <c r="I578" i="4"/>
  <c r="I483" i="4"/>
  <c r="I451" i="4"/>
  <c r="M374" i="4"/>
  <c r="K383" i="4"/>
  <c r="G333" i="4"/>
  <c r="K256" i="4"/>
  <c r="K324" i="4"/>
  <c r="E256" i="4"/>
  <c r="M206" i="4"/>
  <c r="M392" i="4"/>
  <c r="G401" i="4"/>
  <c r="M265" i="4"/>
  <c r="K274" i="4"/>
  <c r="M333" i="4"/>
  <c r="G265" i="4"/>
  <c r="E274" i="4"/>
  <c r="G156" i="4"/>
  <c r="E165" i="4"/>
  <c r="I97" i="4"/>
  <c r="G20" i="4"/>
  <c r="E29" i="4"/>
  <c r="K47" i="4"/>
  <c r="E138" i="4"/>
  <c r="M88" i="4"/>
  <c r="K97" i="4"/>
  <c r="I106" i="4"/>
  <c r="G206" i="4"/>
  <c r="E215" i="4"/>
  <c r="I224" i="4"/>
  <c r="G88" i="4"/>
  <c r="E97" i="4"/>
  <c r="K106" i="4"/>
  <c r="M11" i="4"/>
  <c r="K20" i="4"/>
  <c r="E510" i="4"/>
  <c r="I501" i="4"/>
  <c r="M451" i="4"/>
  <c r="E383" i="4"/>
  <c r="M610" i="4"/>
  <c r="K619" i="4"/>
  <c r="M492" i="4"/>
  <c r="K501" i="4"/>
  <c r="I315" i="4"/>
  <c r="G492" i="4"/>
  <c r="E501" i="4"/>
  <c r="E519" i="4"/>
  <c r="K365" i="4"/>
  <c r="I383" i="4"/>
  <c r="I392" i="4"/>
  <c r="K401" i="4"/>
  <c r="I265" i="4"/>
  <c r="I333" i="4"/>
  <c r="M256" i="4"/>
  <c r="K265" i="4"/>
  <c r="I306" i="4"/>
  <c r="I283" i="4"/>
  <c r="G197" i="4"/>
  <c r="G215" i="4"/>
  <c r="M274" i="4"/>
  <c r="K283" i="4"/>
  <c r="K188" i="4"/>
  <c r="K206" i="4"/>
  <c r="E224" i="4"/>
  <c r="M165" i="4"/>
  <c r="G106" i="4"/>
  <c r="M29" i="4"/>
  <c r="K38" i="4"/>
  <c r="M138" i="4"/>
  <c r="K147" i="4"/>
  <c r="M215" i="4"/>
  <c r="G138" i="4"/>
  <c r="E147" i="4"/>
  <c r="M97" i="4"/>
  <c r="I29" i="4"/>
  <c r="M156" i="4"/>
  <c r="K165" i="4"/>
  <c r="I88" i="4"/>
  <c r="E20" i="4"/>
  <c r="G433" i="4"/>
  <c r="M578" i="4"/>
  <c r="M383" i="4"/>
  <c r="I628" i="4"/>
  <c r="M542" i="4"/>
  <c r="K551" i="4"/>
  <c r="I510" i="4"/>
  <c r="K433" i="4"/>
  <c r="G374" i="4"/>
  <c r="G392" i="4"/>
  <c r="K560" i="4"/>
  <c r="M501" i="4"/>
  <c r="K510" i="4"/>
  <c r="E433" i="4"/>
  <c r="I374" i="4"/>
  <c r="E401" i="4"/>
  <c r="K306" i="4"/>
  <c r="M306" i="4"/>
  <c r="K315" i="4"/>
  <c r="E342" i="4"/>
  <c r="G274" i="4"/>
  <c r="E283" i="4"/>
  <c r="I274" i="4"/>
  <c r="E197" i="4"/>
  <c r="G315" i="4"/>
  <c r="E324" i="4"/>
  <c r="I197" i="4"/>
  <c r="I206" i="4"/>
  <c r="I215" i="4"/>
  <c r="K138" i="4"/>
  <c r="E79" i="4"/>
  <c r="I156" i="4"/>
  <c r="G29" i="4"/>
  <c r="E38" i="4"/>
  <c r="E47" i="4"/>
  <c r="M147" i="4"/>
  <c r="K156" i="4"/>
  <c r="G38" i="4"/>
  <c r="G501" i="4"/>
  <c r="G519" i="4"/>
  <c r="E315" i="4"/>
  <c r="I433" i="4"/>
  <c r="I401" i="4"/>
  <c r="I560" i="4"/>
  <c r="I442" i="4"/>
  <c r="I569" i="4"/>
  <c r="M433" i="4"/>
  <c r="K442" i="4"/>
  <c r="I324" i="4"/>
  <c r="M283" i="4"/>
  <c r="M188" i="4"/>
  <c r="K197" i="4"/>
  <c r="K215" i="4"/>
  <c r="G283" i="4"/>
  <c r="M197" i="4"/>
  <c r="E206" i="4"/>
  <c r="G383" i="4"/>
  <c r="E392" i="4"/>
  <c r="M324" i="4"/>
  <c r="K333" i="4"/>
  <c r="G256" i="4"/>
  <c r="E265" i="4"/>
  <c r="G324" i="4"/>
  <c r="E333" i="4"/>
  <c r="I256" i="4"/>
  <c r="G224" i="4"/>
  <c r="I147" i="4"/>
  <c r="M79" i="4"/>
  <c r="K88" i="4"/>
  <c r="G165" i="4"/>
  <c r="G79" i="4"/>
  <c r="E88" i="4"/>
  <c r="M38" i="4"/>
  <c r="I79" i="4"/>
  <c r="I138" i="4"/>
  <c r="M106" i="4"/>
  <c r="I38" i="4"/>
  <c r="I47" i="4"/>
  <c r="E156" i="4"/>
  <c r="M70" i="4"/>
  <c r="G47" i="4"/>
  <c r="E106" i="4"/>
  <c r="M20" i="4"/>
  <c r="G147" i="4"/>
  <c r="K79" i="4"/>
  <c r="G97" i="4"/>
  <c r="K29" i="4"/>
  <c r="J475" i="4"/>
  <c r="J239" i="4"/>
  <c r="J652" i="4"/>
  <c r="J416" i="4"/>
  <c r="J180" i="4"/>
  <c r="J534" i="4"/>
  <c r="J298" i="4"/>
  <c r="J62" i="4"/>
  <c r="J593" i="4"/>
  <c r="J357" i="4"/>
  <c r="J121" i="4"/>
  <c r="K19" i="4"/>
  <c r="O114" i="4"/>
  <c r="M10" i="4"/>
  <c r="O105" i="4"/>
  <c r="O350" i="4"/>
  <c r="O232" i="4"/>
  <c r="O468" i="4"/>
  <c r="O527" i="4"/>
  <c r="O704" i="4"/>
  <c r="O409" i="4"/>
  <c r="K668" i="4"/>
  <c r="O370" i="3"/>
  <c r="K10" i="3"/>
  <c r="M70" i="3"/>
  <c r="M79" i="3"/>
  <c r="K88" i="3"/>
  <c r="I97" i="3"/>
  <c r="C28" i="3"/>
  <c r="C46" i="3"/>
  <c r="M10" i="3"/>
  <c r="G19" i="3"/>
  <c r="E28" i="3"/>
  <c r="C37" i="3"/>
  <c r="G28" i="3"/>
  <c r="E37" i="3"/>
  <c r="G46" i="3"/>
  <c r="I79" i="3"/>
  <c r="G88" i="3"/>
  <c r="E97" i="3"/>
  <c r="M277" i="3"/>
  <c r="K286" i="3"/>
  <c r="I310" i="3"/>
  <c r="G319" i="3"/>
  <c r="E328" i="3"/>
  <c r="C337" i="3"/>
  <c r="C346" i="3"/>
  <c r="M508" i="3"/>
  <c r="K517" i="3"/>
  <c r="M139" i="3"/>
  <c r="K148" i="3"/>
  <c r="I157" i="3"/>
  <c r="G166" i="3"/>
  <c r="K199" i="3"/>
  <c r="I208" i="3"/>
  <c r="G217" i="3"/>
  <c r="M286" i="3"/>
  <c r="K310" i="3"/>
  <c r="I319" i="3"/>
  <c r="G328" i="3"/>
  <c r="E337" i="3"/>
  <c r="I379" i="3"/>
  <c r="G388" i="3"/>
  <c r="I406" i="3"/>
  <c r="K439" i="3"/>
  <c r="I448" i="3"/>
  <c r="G457" i="3"/>
  <c r="E466" i="3"/>
  <c r="I490" i="3"/>
  <c r="I499" i="3"/>
  <c r="G508" i="3"/>
  <c r="E517" i="3"/>
  <c r="K190" i="3"/>
  <c r="E199" i="3"/>
  <c r="C208" i="3"/>
  <c r="E226" i="3"/>
  <c r="M439" i="3"/>
  <c r="K448" i="3"/>
  <c r="I457" i="3"/>
  <c r="K490" i="3"/>
  <c r="K499" i="3"/>
  <c r="I508" i="3"/>
  <c r="G517" i="3"/>
  <c r="M619" i="3"/>
  <c r="E628" i="3"/>
  <c r="G259" i="3"/>
  <c r="E268" i="3"/>
  <c r="C277" i="3"/>
  <c r="M379" i="3"/>
  <c r="K388" i="3"/>
  <c r="E406" i="3"/>
  <c r="E19" i="3"/>
  <c r="K28" i="3"/>
  <c r="I37" i="3"/>
  <c r="K46" i="3"/>
  <c r="M28" i="3"/>
  <c r="K37" i="3"/>
  <c r="E46" i="3"/>
  <c r="G79" i="3"/>
  <c r="E88" i="3"/>
  <c r="C97" i="3"/>
  <c r="M37" i="3"/>
  <c r="M97" i="3"/>
  <c r="C19" i="3"/>
  <c r="C79" i="3"/>
  <c r="C139" i="3"/>
  <c r="M328" i="3"/>
  <c r="K337" i="3"/>
  <c r="G559" i="3"/>
  <c r="E568" i="3"/>
  <c r="C577" i="3"/>
  <c r="M337" i="3"/>
  <c r="M517" i="3"/>
  <c r="I559" i="3"/>
  <c r="G568" i="3"/>
  <c r="E577" i="3"/>
  <c r="E586" i="3"/>
  <c r="M199" i="3"/>
  <c r="K208" i="3"/>
  <c r="I217" i="3"/>
  <c r="E79" i="3"/>
  <c r="C88" i="3"/>
  <c r="M19" i="3"/>
  <c r="M88" i="3"/>
  <c r="K97" i="3"/>
  <c r="K19" i="3"/>
  <c r="I28" i="3"/>
  <c r="G37" i="3"/>
  <c r="I46" i="3"/>
  <c r="K79" i="3"/>
  <c r="I88" i="3"/>
  <c r="G97" i="3"/>
  <c r="K139" i="3"/>
  <c r="I148" i="3"/>
  <c r="G157" i="3"/>
  <c r="E166" i="3"/>
  <c r="I199" i="3"/>
  <c r="G208" i="3"/>
  <c r="E217" i="3"/>
  <c r="I226" i="3"/>
  <c r="M370" i="3"/>
  <c r="G379" i="3"/>
  <c r="E388" i="3"/>
  <c r="G406" i="3"/>
  <c r="I439" i="3"/>
  <c r="G448" i="3"/>
  <c r="E457" i="3"/>
  <c r="C466" i="3"/>
  <c r="M568" i="3"/>
  <c r="K577" i="3"/>
  <c r="C586" i="3"/>
  <c r="C259" i="3"/>
  <c r="M550" i="3"/>
  <c r="M577" i="3"/>
  <c r="M586" i="3"/>
  <c r="C628" i="3"/>
  <c r="C637" i="3"/>
  <c r="G139" i="3"/>
  <c r="E148" i="3"/>
  <c r="C157" i="3"/>
  <c r="M259" i="3"/>
  <c r="K268" i="3"/>
  <c r="I277" i="3"/>
  <c r="G286" i="3"/>
  <c r="M310" i="3"/>
  <c r="K319" i="3"/>
  <c r="I328" i="3"/>
  <c r="G337" i="3"/>
  <c r="K379" i="3"/>
  <c r="I388" i="3"/>
  <c r="K406" i="3"/>
  <c r="C559" i="3"/>
  <c r="M157" i="3"/>
  <c r="M190" i="3"/>
  <c r="G199" i="3"/>
  <c r="E208" i="3"/>
  <c r="C217" i="3"/>
  <c r="I19" i="3"/>
  <c r="G268" i="3"/>
  <c r="C148" i="3"/>
  <c r="C199" i="3"/>
  <c r="K259" i="3"/>
  <c r="E346" i="3"/>
  <c r="C439" i="3"/>
  <c r="C526" i="3"/>
  <c r="E439" i="3"/>
  <c r="E526" i="3"/>
  <c r="I568" i="3"/>
  <c r="G586" i="3"/>
  <c r="M208" i="3"/>
  <c r="G226" i="3"/>
  <c r="G310" i="3"/>
  <c r="M319" i="3"/>
  <c r="C388" i="3"/>
  <c r="M448" i="3"/>
  <c r="K457" i="3"/>
  <c r="G619" i="3"/>
  <c r="M688" i="3"/>
  <c r="K697" i="3"/>
  <c r="G706" i="3"/>
  <c r="O686" i="4"/>
  <c r="E668" i="4"/>
  <c r="C677" i="4"/>
  <c r="E609" i="4"/>
  <c r="C618" i="4"/>
  <c r="E627" i="4"/>
  <c r="C636" i="4"/>
  <c r="O659" i="4"/>
  <c r="G668" i="4"/>
  <c r="O550" i="4"/>
  <c r="K637" i="3"/>
  <c r="I659" i="4"/>
  <c r="G677" i="4"/>
  <c r="G609" i="4"/>
  <c r="M550" i="4"/>
  <c r="K559" i="4"/>
  <c r="M217" i="3"/>
  <c r="E277" i="3"/>
  <c r="G499" i="3"/>
  <c r="K586" i="3"/>
  <c r="I268" i="3"/>
  <c r="M148" i="3"/>
  <c r="C268" i="3"/>
  <c r="C319" i="3"/>
  <c r="C379" i="3"/>
  <c r="C406" i="3"/>
  <c r="M628" i="3"/>
  <c r="G148" i="3"/>
  <c r="C166" i="3"/>
  <c r="I286" i="3"/>
  <c r="E379" i="3"/>
  <c r="M490" i="3"/>
  <c r="E499" i="3"/>
  <c r="C508" i="3"/>
  <c r="G526" i="3"/>
  <c r="O600" i="4"/>
  <c r="C550" i="4"/>
  <c r="C619" i="3"/>
  <c r="M659" i="4"/>
  <c r="M668" i="4"/>
  <c r="K677" i="4"/>
  <c r="C695" i="4"/>
  <c r="M609" i="4"/>
  <c r="K618" i="4"/>
  <c r="M627" i="4"/>
  <c r="C679" i="3"/>
  <c r="C706" i="3"/>
  <c r="O668" i="4"/>
  <c r="E677" i="4"/>
  <c r="C686" i="4"/>
  <c r="M670" i="3"/>
  <c r="E679" i="3"/>
  <c r="C688" i="3"/>
  <c r="E706" i="3"/>
  <c r="I668" i="4"/>
  <c r="O677" i="4"/>
  <c r="E686" i="4"/>
  <c r="G695" i="4"/>
  <c r="I609" i="4"/>
  <c r="G618" i="4"/>
  <c r="I627" i="4"/>
  <c r="O609" i="4"/>
  <c r="E618" i="4"/>
  <c r="C627" i="4"/>
  <c r="I568" i="4"/>
  <c r="G577" i="4"/>
  <c r="O482" i="4"/>
  <c r="G491" i="4"/>
  <c r="M432" i="4"/>
  <c r="K441" i="4"/>
  <c r="O382" i="4"/>
  <c r="I482" i="4"/>
  <c r="G432" i="4"/>
  <c r="C286" i="3"/>
  <c r="M388" i="3"/>
  <c r="M457" i="3"/>
  <c r="E508" i="3"/>
  <c r="G277" i="3"/>
  <c r="K628" i="3"/>
  <c r="K157" i="3"/>
  <c r="C448" i="3"/>
  <c r="C499" i="3"/>
  <c r="K559" i="3"/>
  <c r="G577" i="3"/>
  <c r="E619" i="3"/>
  <c r="K217" i="3"/>
  <c r="K277" i="3"/>
  <c r="C328" i="3"/>
  <c r="I337" i="3"/>
  <c r="K370" i="3"/>
  <c r="M499" i="3"/>
  <c r="K508" i="3"/>
  <c r="I517" i="3"/>
  <c r="E559" i="3"/>
  <c r="C568" i="3"/>
  <c r="I619" i="3"/>
  <c r="G628" i="3"/>
  <c r="E637" i="3"/>
  <c r="C646" i="3"/>
  <c r="C668" i="4"/>
  <c r="K550" i="4"/>
  <c r="K619" i="3"/>
  <c r="I628" i="3"/>
  <c r="G637" i="3"/>
  <c r="E646" i="3"/>
  <c r="I670" i="3"/>
  <c r="I679" i="3"/>
  <c r="G688" i="3"/>
  <c r="E697" i="3"/>
  <c r="I706" i="3"/>
  <c r="I686" i="4"/>
  <c r="I637" i="3"/>
  <c r="K670" i="3"/>
  <c r="K679" i="3"/>
  <c r="I688" i="3"/>
  <c r="G697" i="3"/>
  <c r="M677" i="4"/>
  <c r="K686" i="4"/>
  <c r="E695" i="4"/>
  <c r="M679" i="3"/>
  <c r="K688" i="3"/>
  <c r="I697" i="3"/>
  <c r="M686" i="4"/>
  <c r="O618" i="4"/>
  <c r="M618" i="4"/>
  <c r="K627" i="4"/>
  <c r="I259" i="3"/>
  <c r="C517" i="3"/>
  <c r="E139" i="3"/>
  <c r="C226" i="3"/>
  <c r="E286" i="3"/>
  <c r="E259" i="3"/>
  <c r="I139" i="3"/>
  <c r="E157" i="3"/>
  <c r="M268" i="3"/>
  <c r="E319" i="3"/>
  <c r="K328" i="3"/>
  <c r="G439" i="3"/>
  <c r="E448" i="3"/>
  <c r="C457" i="3"/>
  <c r="M559" i="3"/>
  <c r="K568" i="3"/>
  <c r="I577" i="3"/>
  <c r="I586" i="3"/>
  <c r="M637" i="3"/>
  <c r="G679" i="3"/>
  <c r="E688" i="3"/>
  <c r="C697" i="3"/>
  <c r="K659" i="4"/>
  <c r="I677" i="4"/>
  <c r="G686" i="4"/>
  <c r="I695" i="4"/>
  <c r="O541" i="4"/>
  <c r="M697" i="3"/>
  <c r="G550" i="4"/>
  <c r="I559" i="4"/>
  <c r="E550" i="4"/>
  <c r="C559" i="4"/>
  <c r="M500" i="4"/>
  <c r="K509" i="4"/>
  <c r="G518" i="4"/>
  <c r="I400" i="4"/>
  <c r="E559" i="4"/>
  <c r="C568" i="4"/>
  <c r="O500" i="4"/>
  <c r="E509" i="4"/>
  <c r="O491" i="4"/>
  <c r="C509" i="4"/>
  <c r="G500" i="4"/>
  <c r="I618" i="4"/>
  <c r="G627" i="4"/>
  <c r="I500" i="4"/>
  <c r="G509" i="4"/>
  <c r="C518" i="4"/>
  <c r="K364" i="4"/>
  <c r="E373" i="4"/>
  <c r="C382" i="4"/>
  <c r="E391" i="4"/>
  <c r="E400" i="4"/>
  <c r="M491" i="4"/>
  <c r="K500" i="4"/>
  <c r="E518" i="4"/>
  <c r="C432" i="4"/>
  <c r="M364" i="4"/>
  <c r="G373" i="4"/>
  <c r="O391" i="4"/>
  <c r="G400" i="4"/>
  <c r="K305" i="4"/>
  <c r="O264" i="4"/>
  <c r="E273" i="4"/>
  <c r="C282" i="4"/>
  <c r="O332" i="4"/>
  <c r="I264" i="4"/>
  <c r="G273" i="4"/>
  <c r="C196" i="4"/>
  <c r="O305" i="4"/>
  <c r="E314" i="4"/>
  <c r="C323" i="4"/>
  <c r="O282" i="4"/>
  <c r="M196" i="4"/>
  <c r="K205" i="4"/>
  <c r="M214" i="4"/>
  <c r="I282" i="4"/>
  <c r="M187" i="4"/>
  <c r="G196" i="4"/>
  <c r="G214" i="4"/>
  <c r="G223" i="4"/>
  <c r="C78" i="4"/>
  <c r="M105" i="4"/>
  <c r="I37" i="4"/>
  <c r="I146" i="4"/>
  <c r="G155" i="4"/>
  <c r="G19" i="4"/>
  <c r="E28" i="4"/>
  <c r="C37" i="4"/>
  <c r="M137" i="4"/>
  <c r="K146" i="4"/>
  <c r="O28" i="4"/>
  <c r="E432" i="4"/>
  <c r="I373" i="4"/>
  <c r="I391" i="4"/>
  <c r="M559" i="4"/>
  <c r="I577" i="4"/>
  <c r="O627" i="4"/>
  <c r="E636" i="4"/>
  <c r="M541" i="4"/>
  <c r="I550" i="4"/>
  <c r="G559" i="4"/>
  <c r="O509" i="4"/>
  <c r="I432" i="4"/>
  <c r="G441" i="4"/>
  <c r="M373" i="4"/>
  <c r="K382" i="4"/>
  <c r="M391" i="4"/>
  <c r="G568" i="4"/>
  <c r="I509" i="4"/>
  <c r="K432" i="4"/>
  <c r="O373" i="4"/>
  <c r="I305" i="4"/>
  <c r="G314" i="4"/>
  <c r="I314" i="4"/>
  <c r="G323" i="4"/>
  <c r="C341" i="4"/>
  <c r="M273" i="4"/>
  <c r="K282" i="4"/>
  <c r="I223" i="4"/>
  <c r="O273" i="4"/>
  <c r="E282" i="4"/>
  <c r="K196" i="4"/>
  <c r="E382" i="4"/>
  <c r="C391" i="4"/>
  <c r="M314" i="4"/>
  <c r="K323" i="4"/>
  <c r="E255" i="4"/>
  <c r="C264" i="4"/>
  <c r="E323" i="4"/>
  <c r="C332" i="4"/>
  <c r="G255" i="4"/>
  <c r="O196" i="4"/>
  <c r="E205" i="4"/>
  <c r="O214" i="4"/>
  <c r="I137" i="4"/>
  <c r="G146" i="4"/>
  <c r="K78" i="4"/>
  <c r="O155" i="4"/>
  <c r="E164" i="4"/>
  <c r="E78" i="4"/>
  <c r="C87" i="4"/>
  <c r="O19" i="4"/>
  <c r="M28" i="4"/>
  <c r="K37" i="4"/>
  <c r="G46" i="4"/>
  <c r="I155" i="4"/>
  <c r="G164" i="4"/>
  <c r="G78" i="4"/>
  <c r="M37" i="4"/>
  <c r="I46" i="4"/>
  <c r="G137" i="4"/>
  <c r="M96" i="4"/>
  <c r="K105" i="4"/>
  <c r="I28" i="4"/>
  <c r="G37" i="4"/>
  <c r="C46" i="4"/>
  <c r="E500" i="4"/>
  <c r="I450" i="4"/>
  <c r="I491" i="4"/>
  <c r="O432" i="4"/>
  <c r="E441" i="4"/>
  <c r="C450" i="4"/>
  <c r="C373" i="4"/>
  <c r="C314" i="4"/>
  <c r="C609" i="4"/>
  <c r="O559" i="4"/>
  <c r="E568" i="4"/>
  <c r="C577" i="4"/>
  <c r="C491" i="4"/>
  <c r="O441" i="4"/>
  <c r="E450" i="4"/>
  <c r="C459" i="4"/>
  <c r="O568" i="4"/>
  <c r="E577" i="4"/>
  <c r="I441" i="4"/>
  <c r="G450" i="4"/>
  <c r="O314" i="4"/>
  <c r="O323" i="4"/>
  <c r="E332" i="4"/>
  <c r="O187" i="4"/>
  <c r="I196" i="4"/>
  <c r="G205" i="4"/>
  <c r="I214" i="4"/>
  <c r="C255" i="4"/>
  <c r="M282" i="4"/>
  <c r="I205" i="4"/>
  <c r="M382" i="4"/>
  <c r="K391" i="4"/>
  <c r="C400" i="4"/>
  <c r="I332" i="4"/>
  <c r="O246" i="4"/>
  <c r="M255" i="4"/>
  <c r="K264" i="4"/>
  <c r="M323" i="4"/>
  <c r="K332" i="4"/>
  <c r="O255" i="4"/>
  <c r="E264" i="4"/>
  <c r="C273" i="4"/>
  <c r="O128" i="4"/>
  <c r="O146" i="4"/>
  <c r="E155" i="4"/>
  <c r="C164" i="4"/>
  <c r="I87" i="4"/>
  <c r="G96" i="4"/>
  <c r="E19" i="4"/>
  <c r="C28" i="4"/>
  <c r="C137" i="4"/>
  <c r="M164" i="4"/>
  <c r="M69" i="4"/>
  <c r="M78" i="4"/>
  <c r="K87" i="4"/>
  <c r="C214" i="4"/>
  <c r="O164" i="4"/>
  <c r="O69" i="4"/>
  <c r="O78" i="4"/>
  <c r="E87" i="4"/>
  <c r="C96" i="4"/>
  <c r="C441" i="4"/>
  <c r="O364" i="4"/>
  <c r="G382" i="4"/>
  <c r="K568" i="4"/>
  <c r="M509" i="4"/>
  <c r="M441" i="4"/>
  <c r="K450" i="4"/>
  <c r="K373" i="4"/>
  <c r="M305" i="4"/>
  <c r="K314" i="4"/>
  <c r="K609" i="4"/>
  <c r="M568" i="4"/>
  <c r="K577" i="4"/>
  <c r="K482" i="4"/>
  <c r="K491" i="4"/>
  <c r="M450" i="4"/>
  <c r="M577" i="4"/>
  <c r="M482" i="4"/>
  <c r="E491" i="4"/>
  <c r="C500" i="4"/>
  <c r="O450" i="4"/>
  <c r="E459" i="4"/>
  <c r="I382" i="4"/>
  <c r="G391" i="4"/>
  <c r="M332" i="4"/>
  <c r="I255" i="4"/>
  <c r="G264" i="4"/>
  <c r="O205" i="4"/>
  <c r="I323" i="4"/>
  <c r="G332" i="4"/>
  <c r="E341" i="4"/>
  <c r="K255" i="4"/>
  <c r="K400" i="4"/>
  <c r="G305" i="4"/>
  <c r="I273" i="4"/>
  <c r="G282" i="4"/>
  <c r="K187" i="4"/>
  <c r="E196" i="4"/>
  <c r="C205" i="4"/>
  <c r="E214" i="4"/>
  <c r="E223" i="4"/>
  <c r="M264" i="4"/>
  <c r="K273" i="4"/>
  <c r="M155" i="4"/>
  <c r="K164" i="4"/>
  <c r="O96" i="4"/>
  <c r="E105" i="4"/>
  <c r="M19" i="4"/>
  <c r="K28" i="4"/>
  <c r="E46" i="4"/>
  <c r="K137" i="4"/>
  <c r="I96" i="4"/>
  <c r="G105" i="4"/>
  <c r="M205" i="4"/>
  <c r="K214" i="4"/>
  <c r="C223" i="4"/>
  <c r="E137" i="4"/>
  <c r="C146" i="4"/>
  <c r="M87" i="4"/>
  <c r="K96" i="4"/>
  <c r="I105" i="4"/>
  <c r="O10" i="4"/>
  <c r="I19" i="4"/>
  <c r="G28" i="4"/>
  <c r="M146" i="4"/>
  <c r="K155" i="4"/>
  <c r="I78" i="4"/>
  <c r="G87" i="4"/>
  <c r="O87" i="4"/>
  <c r="C19" i="4"/>
  <c r="E146" i="4"/>
  <c r="E96" i="4"/>
  <c r="E37" i="4"/>
  <c r="O137" i="4"/>
  <c r="C155" i="4"/>
  <c r="K46" i="4"/>
  <c r="H652" i="4"/>
  <c r="H298" i="4"/>
  <c r="H62" i="4"/>
  <c r="H121" i="4"/>
  <c r="H534" i="4"/>
  <c r="H416" i="4"/>
  <c r="H180" i="4"/>
  <c r="H593" i="4"/>
  <c r="H475" i="4"/>
  <c r="H357" i="4"/>
  <c r="H239" i="4"/>
  <c r="H542" i="3"/>
  <c r="H362" i="3"/>
  <c r="H602" i="3"/>
  <c r="H662" i="3"/>
  <c r="H422" i="3"/>
  <c r="H3" i="4"/>
  <c r="H482" i="3"/>
  <c r="H182" i="3"/>
  <c r="O688" i="3"/>
  <c r="O619" i="3"/>
  <c r="O517" i="3"/>
  <c r="O457" i="3"/>
  <c r="L397" i="3"/>
  <c r="M397" i="3" s="1"/>
  <c r="D397" i="3"/>
  <c r="E397" i="3" s="1"/>
  <c r="O388" i="3"/>
  <c r="O319" i="3"/>
  <c r="O217" i="3"/>
  <c r="O148" i="3"/>
  <c r="O79" i="3"/>
  <c r="O19" i="3"/>
  <c r="O499" i="3"/>
  <c r="N397" i="3"/>
  <c r="O397" i="3" s="1"/>
  <c r="O157" i="3"/>
  <c r="H242" i="3"/>
  <c r="O679" i="3"/>
  <c r="O577" i="3"/>
  <c r="O508" i="3"/>
  <c r="O448" i="3"/>
  <c r="J397" i="3"/>
  <c r="K397" i="3" s="1"/>
  <c r="B397" i="3"/>
  <c r="C397" i="3" s="1"/>
  <c r="O379" i="3"/>
  <c r="O277" i="3"/>
  <c r="O208" i="3"/>
  <c r="O139" i="3"/>
  <c r="O628" i="3"/>
  <c r="O259" i="3"/>
  <c r="H302" i="3"/>
  <c r="H62" i="3"/>
  <c r="O637" i="3"/>
  <c r="O568" i="3"/>
  <c r="O439" i="3"/>
  <c r="H397" i="3"/>
  <c r="I397" i="3" s="1"/>
  <c r="O337" i="3"/>
  <c r="O268" i="3"/>
  <c r="O199" i="3"/>
  <c r="O97" i="3"/>
  <c r="O37" i="3"/>
  <c r="H122" i="3"/>
  <c r="O697" i="3"/>
  <c r="F397" i="3"/>
  <c r="G397" i="3" s="1"/>
  <c r="O328" i="3"/>
  <c r="O88" i="3"/>
  <c r="O559" i="3"/>
  <c r="H3" i="3"/>
  <c r="O28" i="3"/>
  <c r="O610" i="3"/>
  <c r="O550" i="3"/>
  <c r="O490" i="3"/>
  <c r="O310" i="3"/>
  <c r="O190" i="3"/>
  <c r="O670" i="3"/>
  <c r="O250" i="3"/>
  <c r="O10" i="3"/>
  <c r="O130" i="3"/>
  <c r="O70" i="3"/>
  <c r="O235" i="3"/>
  <c r="O355" i="3"/>
  <c r="O286" i="3"/>
  <c r="O115" i="3"/>
  <c r="O415" i="3"/>
  <c r="O715" i="3"/>
  <c r="O535" i="3"/>
  <c r="J602" i="3"/>
  <c r="J362" i="3"/>
  <c r="J422" i="3"/>
  <c r="J662" i="3"/>
  <c r="J542" i="3"/>
  <c r="J3" i="4"/>
  <c r="J482" i="3"/>
  <c r="J242" i="3"/>
  <c r="N398" i="3"/>
  <c r="O398" i="3" s="1"/>
  <c r="F398" i="3"/>
  <c r="G398" i="3" s="1"/>
  <c r="J302" i="3"/>
  <c r="J62" i="3"/>
  <c r="L398" i="3"/>
  <c r="M398" i="3" s="1"/>
  <c r="D398" i="3"/>
  <c r="E398" i="3" s="1"/>
  <c r="H398" i="3"/>
  <c r="I398" i="3" s="1"/>
  <c r="J122" i="3"/>
  <c r="O680" i="3"/>
  <c r="J398" i="3"/>
  <c r="K398" i="3" s="1"/>
  <c r="B398" i="3"/>
  <c r="C398" i="3" s="1"/>
  <c r="J3" i="3"/>
  <c r="J182" i="3"/>
  <c r="O116" i="3"/>
  <c r="O416" i="3"/>
  <c r="O236" i="3"/>
  <c r="O536" i="3"/>
  <c r="O356" i="3"/>
  <c r="O716" i="3"/>
  <c r="P59" i="3"/>
  <c r="O104" i="4" l="1"/>
  <c r="O109" i="4" s="1"/>
  <c r="O9" i="4"/>
  <c r="O113" i="4"/>
  <c r="O118" i="4" s="1"/>
  <c r="O177" i="4"/>
  <c r="O231" i="4"/>
  <c r="O345" i="4"/>
  <c r="O349" i="4"/>
  <c r="O354" i="4" s="1"/>
  <c r="O408" i="4"/>
  <c r="O413" i="4" s="1"/>
  <c r="O227" i="4"/>
  <c r="O526" i="4"/>
  <c r="O531" i="4" s="1"/>
  <c r="O590" i="4"/>
  <c r="O467" i="4"/>
  <c r="O472" i="4" s="1"/>
  <c r="O522" i="4"/>
  <c r="O581" i="4"/>
  <c r="O404" i="4"/>
  <c r="O649" i="4"/>
  <c r="O703" i="4"/>
  <c r="K667" i="4"/>
  <c r="O699" i="4"/>
  <c r="I27" i="3"/>
  <c r="E45" i="3"/>
  <c r="M9" i="3"/>
  <c r="M18" i="3"/>
  <c r="K27" i="3"/>
  <c r="I36" i="3"/>
  <c r="E78" i="3"/>
  <c r="C87" i="3"/>
  <c r="C18" i="3"/>
  <c r="G36" i="3"/>
  <c r="C78" i="3"/>
  <c r="G45" i="3"/>
  <c r="M78" i="3"/>
  <c r="K87" i="3"/>
  <c r="I96" i="3"/>
  <c r="I18" i="3"/>
  <c r="E36" i="3"/>
  <c r="C45" i="3"/>
  <c r="I78" i="3"/>
  <c r="E96" i="3"/>
  <c r="I138" i="3"/>
  <c r="E156" i="3"/>
  <c r="C165" i="3"/>
  <c r="E207" i="3"/>
  <c r="C216" i="3"/>
  <c r="E378" i="3"/>
  <c r="C387" i="3"/>
  <c r="E447" i="3"/>
  <c r="C456" i="3"/>
  <c r="M558" i="3"/>
  <c r="K567" i="3"/>
  <c r="I576" i="3"/>
  <c r="G558" i="3"/>
  <c r="M567" i="3"/>
  <c r="K576" i="3"/>
  <c r="I585" i="3"/>
  <c r="E138" i="3"/>
  <c r="C147" i="3"/>
  <c r="G216" i="3"/>
  <c r="K258" i="3"/>
  <c r="I267" i="3"/>
  <c r="E285" i="3"/>
  <c r="K309" i="3"/>
  <c r="I318" i="3"/>
  <c r="E336" i="3"/>
  <c r="C345" i="3"/>
  <c r="I378" i="3"/>
  <c r="E405" i="3"/>
  <c r="G138" i="3"/>
  <c r="M147" i="3"/>
  <c r="K156" i="3"/>
  <c r="E198" i="3"/>
  <c r="C207" i="3"/>
  <c r="G285" i="3"/>
  <c r="M309" i="3"/>
  <c r="K318" i="3"/>
  <c r="I327" i="3"/>
  <c r="E345" i="3"/>
  <c r="K78" i="3"/>
  <c r="I87" i="3"/>
  <c r="K18" i="3"/>
  <c r="K9" i="3"/>
  <c r="G27" i="3"/>
  <c r="M36" i="3"/>
  <c r="K45" i="3"/>
  <c r="G87" i="3"/>
  <c r="M96" i="3"/>
  <c r="G147" i="3"/>
  <c r="M156" i="3"/>
  <c r="G198" i="3"/>
  <c r="M207" i="3"/>
  <c r="K216" i="3"/>
  <c r="I225" i="3"/>
  <c r="E267" i="3"/>
  <c r="C276" i="3"/>
  <c r="O369" i="3"/>
  <c r="M378" i="3"/>
  <c r="K387" i="3"/>
  <c r="I405" i="3"/>
  <c r="G438" i="3"/>
  <c r="M447" i="3"/>
  <c r="K456" i="3"/>
  <c r="E498" i="3"/>
  <c r="C507" i="3"/>
  <c r="G585" i="3"/>
  <c r="C138" i="3"/>
  <c r="I258" i="3"/>
  <c r="E276" i="3"/>
  <c r="C285" i="3"/>
  <c r="M549" i="3"/>
  <c r="I627" i="3"/>
  <c r="I636" i="3"/>
  <c r="M138" i="3"/>
  <c r="K147" i="3"/>
  <c r="I156" i="3"/>
  <c r="G96" i="3"/>
  <c r="E18" i="3"/>
  <c r="C27" i="3"/>
  <c r="E27" i="3"/>
  <c r="C36" i="3"/>
  <c r="E87" i="3"/>
  <c r="C96" i="3"/>
  <c r="G18" i="3"/>
  <c r="G258" i="3"/>
  <c r="M267" i="3"/>
  <c r="K276" i="3"/>
  <c r="I285" i="3"/>
  <c r="E318" i="3"/>
  <c r="C327" i="3"/>
  <c r="K489" i="3"/>
  <c r="M498" i="3"/>
  <c r="K507" i="3"/>
  <c r="I516" i="3"/>
  <c r="K138" i="3"/>
  <c r="I147" i="3"/>
  <c r="E165" i="3"/>
  <c r="I198" i="3"/>
  <c r="E216" i="3"/>
  <c r="C225" i="3"/>
  <c r="G267" i="3"/>
  <c r="M276" i="3"/>
  <c r="K285" i="3"/>
  <c r="I309" i="3"/>
  <c r="E327" i="3"/>
  <c r="C336" i="3"/>
  <c r="E387" i="3"/>
  <c r="C405" i="3"/>
  <c r="I438" i="3"/>
  <c r="E456" i="3"/>
  <c r="C465" i="3"/>
  <c r="E507" i="3"/>
  <c r="C516" i="3"/>
  <c r="G165" i="3"/>
  <c r="C198" i="3"/>
  <c r="K438" i="3"/>
  <c r="I447" i="3"/>
  <c r="E465" i="3"/>
  <c r="I498" i="3"/>
  <c r="E516" i="3"/>
  <c r="C525" i="3"/>
  <c r="G567" i="3"/>
  <c r="M576" i="3"/>
  <c r="K585" i="3"/>
  <c r="K618" i="3"/>
  <c r="C627" i="3"/>
  <c r="G225" i="3"/>
  <c r="G78" i="3"/>
  <c r="M318" i="3"/>
  <c r="G525" i="3"/>
  <c r="M489" i="3"/>
  <c r="M189" i="3"/>
  <c r="E225" i="3"/>
  <c r="G456" i="3"/>
  <c r="G507" i="3"/>
  <c r="K627" i="3"/>
  <c r="E147" i="3"/>
  <c r="K378" i="3"/>
  <c r="K498" i="3"/>
  <c r="I507" i="3"/>
  <c r="E525" i="3"/>
  <c r="C558" i="3"/>
  <c r="E627" i="3"/>
  <c r="C636" i="3"/>
  <c r="I549" i="4"/>
  <c r="I618" i="3"/>
  <c r="E636" i="3"/>
  <c r="C645" i="3"/>
  <c r="E687" i="3"/>
  <c r="C696" i="3"/>
  <c r="G685" i="4"/>
  <c r="E694" i="4"/>
  <c r="E645" i="3"/>
  <c r="I678" i="3"/>
  <c r="E696" i="3"/>
  <c r="C705" i="3"/>
  <c r="K676" i="4"/>
  <c r="I685" i="4"/>
  <c r="K678" i="3"/>
  <c r="I687" i="3"/>
  <c r="E705" i="3"/>
  <c r="O667" i="4"/>
  <c r="K685" i="4"/>
  <c r="I694" i="4"/>
  <c r="O608" i="4"/>
  <c r="M617" i="4"/>
  <c r="O626" i="4"/>
  <c r="K617" i="4"/>
  <c r="I626" i="4"/>
  <c r="O567" i="4"/>
  <c r="M576" i="4"/>
  <c r="M490" i="4"/>
  <c r="M27" i="3"/>
  <c r="M87" i="3"/>
  <c r="K327" i="3"/>
  <c r="E558" i="3"/>
  <c r="G156" i="3"/>
  <c r="G207" i="3"/>
  <c r="G318" i="3"/>
  <c r="G378" i="3"/>
  <c r="G447" i="3"/>
  <c r="G498" i="3"/>
  <c r="K198" i="3"/>
  <c r="M285" i="3"/>
  <c r="M336" i="3"/>
  <c r="I558" i="3"/>
  <c r="E576" i="3"/>
  <c r="C618" i="3"/>
  <c r="M198" i="3"/>
  <c r="I216" i="3"/>
  <c r="C267" i="3"/>
  <c r="I276" i="3"/>
  <c r="G336" i="3"/>
  <c r="M369" i="3"/>
  <c r="E438" i="3"/>
  <c r="C447" i="3"/>
  <c r="G516" i="3"/>
  <c r="K558" i="3"/>
  <c r="I567" i="3"/>
  <c r="E585" i="3"/>
  <c r="G618" i="3"/>
  <c r="M627" i="3"/>
  <c r="K636" i="3"/>
  <c r="E678" i="3"/>
  <c r="C687" i="3"/>
  <c r="I667" i="4"/>
  <c r="G676" i="4"/>
  <c r="E685" i="4"/>
  <c r="G627" i="3"/>
  <c r="M636" i="3"/>
  <c r="M669" i="3"/>
  <c r="G678" i="3"/>
  <c r="M687" i="3"/>
  <c r="K696" i="3"/>
  <c r="I705" i="3"/>
  <c r="O685" i="4"/>
  <c r="G636" i="3"/>
  <c r="G687" i="3"/>
  <c r="M696" i="3"/>
  <c r="G694" i="4"/>
  <c r="E549" i="4"/>
  <c r="G558" i="4"/>
  <c r="G696" i="3"/>
  <c r="O599" i="4"/>
  <c r="C549" i="4"/>
  <c r="K499" i="4"/>
  <c r="I508" i="4"/>
  <c r="O449" i="4"/>
  <c r="O490" i="4"/>
  <c r="M499" i="4"/>
  <c r="C508" i="4"/>
  <c r="K36" i="3"/>
  <c r="K96" i="3"/>
  <c r="I336" i="3"/>
  <c r="C567" i="3"/>
  <c r="M216" i="3"/>
  <c r="M327" i="3"/>
  <c r="M387" i="3"/>
  <c r="M456" i="3"/>
  <c r="M507" i="3"/>
  <c r="E567" i="3"/>
  <c r="I207" i="3"/>
  <c r="C258" i="3"/>
  <c r="M516" i="3"/>
  <c r="C156" i="3"/>
  <c r="E258" i="3"/>
  <c r="K267" i="3"/>
  <c r="C318" i="3"/>
  <c r="M438" i="3"/>
  <c r="K447" i="3"/>
  <c r="I456" i="3"/>
  <c r="G576" i="3"/>
  <c r="M585" i="3"/>
  <c r="E618" i="3"/>
  <c r="K669" i="3"/>
  <c r="M678" i="3"/>
  <c r="K687" i="3"/>
  <c r="I696" i="3"/>
  <c r="O658" i="4"/>
  <c r="O676" i="4"/>
  <c r="M685" i="4"/>
  <c r="C694" i="4"/>
  <c r="O540" i="4"/>
  <c r="C608" i="4"/>
  <c r="C626" i="4"/>
  <c r="K658" i="4"/>
  <c r="E667" i="4"/>
  <c r="M549" i="4"/>
  <c r="O558" i="4"/>
  <c r="E676" i="4"/>
  <c r="E608" i="4"/>
  <c r="K549" i="4"/>
  <c r="I558" i="4"/>
  <c r="I45" i="3"/>
  <c r="G309" i="3"/>
  <c r="K189" i="3"/>
  <c r="K336" i="3"/>
  <c r="K405" i="3"/>
  <c r="K516" i="3"/>
  <c r="C576" i="3"/>
  <c r="G276" i="3"/>
  <c r="G327" i="3"/>
  <c r="K369" i="3"/>
  <c r="G387" i="3"/>
  <c r="C438" i="3"/>
  <c r="C585" i="3"/>
  <c r="K207" i="3"/>
  <c r="M258" i="3"/>
  <c r="C378" i="3"/>
  <c r="I387" i="3"/>
  <c r="G405" i="3"/>
  <c r="I489" i="3"/>
  <c r="C498" i="3"/>
  <c r="M618" i="3"/>
  <c r="G705" i="3"/>
  <c r="C558" i="4"/>
  <c r="I658" i="4"/>
  <c r="C667" i="4"/>
  <c r="I676" i="4"/>
  <c r="K608" i="4"/>
  <c r="I617" i="4"/>
  <c r="K626" i="4"/>
  <c r="M667" i="4"/>
  <c r="C676" i="4"/>
  <c r="I669" i="3"/>
  <c r="C678" i="3"/>
  <c r="M658" i="4"/>
  <c r="G667" i="4"/>
  <c r="M676" i="4"/>
  <c r="C685" i="4"/>
  <c r="G608" i="4"/>
  <c r="E617" i="4"/>
  <c r="G626" i="4"/>
  <c r="E635" i="4"/>
  <c r="M608" i="4"/>
  <c r="C617" i="4"/>
  <c r="G567" i="4"/>
  <c r="E576" i="4"/>
  <c r="K481" i="4"/>
  <c r="E490" i="4"/>
  <c r="K431" i="4"/>
  <c r="I440" i="4"/>
  <c r="O372" i="4"/>
  <c r="M381" i="4"/>
  <c r="O390" i="4"/>
  <c r="G576" i="4"/>
  <c r="E431" i="4"/>
  <c r="C431" i="4"/>
  <c r="G372" i="4"/>
  <c r="G390" i="4"/>
  <c r="K558" i="4"/>
  <c r="C440" i="4"/>
  <c r="C322" i="4"/>
  <c r="M540" i="4"/>
  <c r="O549" i="4"/>
  <c r="M558" i="4"/>
  <c r="C567" i="4"/>
  <c r="O431" i="4"/>
  <c r="M440" i="4"/>
  <c r="C449" i="4"/>
  <c r="M567" i="4"/>
  <c r="C576" i="4"/>
  <c r="O508" i="4"/>
  <c r="G440" i="4"/>
  <c r="E449" i="4"/>
  <c r="K381" i="4"/>
  <c r="O304" i="4"/>
  <c r="M313" i="4"/>
  <c r="O313" i="4"/>
  <c r="M322" i="4"/>
  <c r="C331" i="4"/>
  <c r="G195" i="4"/>
  <c r="E204" i="4"/>
  <c r="G213" i="4"/>
  <c r="E222" i="4"/>
  <c r="K281" i="4"/>
  <c r="K186" i="4"/>
  <c r="G204" i="4"/>
  <c r="I390" i="4"/>
  <c r="G331" i="4"/>
  <c r="E340" i="4"/>
  <c r="K254" i="4"/>
  <c r="I263" i="4"/>
  <c r="K322" i="4"/>
  <c r="I331" i="4"/>
  <c r="M254" i="4"/>
  <c r="C263" i="4"/>
  <c r="K204" i="4"/>
  <c r="O127" i="4"/>
  <c r="O136" i="4"/>
  <c r="M145" i="4"/>
  <c r="C154" i="4"/>
  <c r="G86" i="4"/>
  <c r="E95" i="4"/>
  <c r="C18" i="4"/>
  <c r="K163" i="4"/>
  <c r="K77" i="4"/>
  <c r="I86" i="4"/>
  <c r="I45" i="4"/>
  <c r="O154" i="4"/>
  <c r="M163" i="4"/>
  <c r="M77" i="4"/>
  <c r="C86" i="4"/>
  <c r="C499" i="4"/>
  <c r="G449" i="4"/>
  <c r="G490" i="4"/>
  <c r="M431" i="4"/>
  <c r="K440" i="4"/>
  <c r="I449" i="4"/>
  <c r="I372" i="4"/>
  <c r="K304" i="4"/>
  <c r="I313" i="4"/>
  <c r="I608" i="4"/>
  <c r="K567" i="4"/>
  <c r="I576" i="4"/>
  <c r="I490" i="4"/>
  <c r="K449" i="4"/>
  <c r="K576" i="4"/>
  <c r="I481" i="4"/>
  <c r="C490" i="4"/>
  <c r="O440" i="4"/>
  <c r="M449" i="4"/>
  <c r="C458" i="4"/>
  <c r="G381" i="4"/>
  <c r="E390" i="4"/>
  <c r="K331" i="4"/>
  <c r="G254" i="4"/>
  <c r="E263" i="4"/>
  <c r="O195" i="4"/>
  <c r="M204" i="4"/>
  <c r="O213" i="4"/>
  <c r="E331" i="4"/>
  <c r="I254" i="4"/>
  <c r="O204" i="4"/>
  <c r="G399" i="4"/>
  <c r="O331" i="4"/>
  <c r="G272" i="4"/>
  <c r="E281" i="4"/>
  <c r="C195" i="4"/>
  <c r="C213" i="4"/>
  <c r="O245" i="4"/>
  <c r="K263" i="4"/>
  <c r="I272" i="4"/>
  <c r="K154" i="4"/>
  <c r="O86" i="4"/>
  <c r="M95" i="4"/>
  <c r="K18" i="4"/>
  <c r="I27" i="4"/>
  <c r="I136" i="4"/>
  <c r="G95" i="4"/>
  <c r="E104" i="4"/>
  <c r="I213" i="4"/>
  <c r="C136" i="4"/>
  <c r="K86" i="4"/>
  <c r="I95" i="4"/>
  <c r="G18" i="4"/>
  <c r="E27" i="4"/>
  <c r="K145" i="4"/>
  <c r="I154" i="4"/>
  <c r="G77" i="4"/>
  <c r="E86" i="4"/>
  <c r="G517" i="4"/>
  <c r="E381" i="4"/>
  <c r="E399" i="4"/>
  <c r="I567" i="4"/>
  <c r="K508" i="4"/>
  <c r="K363" i="4"/>
  <c r="G617" i="4"/>
  <c r="E626" i="4"/>
  <c r="O481" i="4"/>
  <c r="G499" i="4"/>
  <c r="E508" i="4"/>
  <c r="C372" i="4"/>
  <c r="C390" i="4"/>
  <c r="K490" i="4"/>
  <c r="I499" i="4"/>
  <c r="E372" i="4"/>
  <c r="O381" i="4"/>
  <c r="M390" i="4"/>
  <c r="C399" i="4"/>
  <c r="I304" i="4"/>
  <c r="O254" i="4"/>
  <c r="M263" i="4"/>
  <c r="C272" i="4"/>
  <c r="O322" i="4"/>
  <c r="M331" i="4"/>
  <c r="C340" i="4"/>
  <c r="G263" i="4"/>
  <c r="E272" i="4"/>
  <c r="M304" i="4"/>
  <c r="C313" i="4"/>
  <c r="O272" i="4"/>
  <c r="M281" i="4"/>
  <c r="M186" i="4"/>
  <c r="K195" i="4"/>
  <c r="I204" i="4"/>
  <c r="K213" i="4"/>
  <c r="I222" i="4"/>
  <c r="G281" i="4"/>
  <c r="E195" i="4"/>
  <c r="E213" i="4"/>
  <c r="O68" i="4"/>
  <c r="K104" i="4"/>
  <c r="M9" i="4"/>
  <c r="G36" i="4"/>
  <c r="G45" i="4"/>
  <c r="G145" i="4"/>
  <c r="E154" i="4"/>
  <c r="O95" i="4"/>
  <c r="M104" i="4"/>
  <c r="E18" i="4"/>
  <c r="C27" i="4"/>
  <c r="G222" i="4"/>
  <c r="K136" i="4"/>
  <c r="I145" i="4"/>
  <c r="G104" i="4"/>
  <c r="O18" i="4"/>
  <c r="M27" i="4"/>
  <c r="C36" i="4"/>
  <c r="E458" i="4"/>
  <c r="M481" i="4"/>
  <c r="E499" i="4"/>
  <c r="O617" i="4"/>
  <c r="M626" i="4"/>
  <c r="C635" i="4"/>
  <c r="G549" i="4"/>
  <c r="E558" i="4"/>
  <c r="O499" i="4"/>
  <c r="M508" i="4"/>
  <c r="C517" i="4"/>
  <c r="G431" i="4"/>
  <c r="E440" i="4"/>
  <c r="M363" i="4"/>
  <c r="K372" i="4"/>
  <c r="I381" i="4"/>
  <c r="K390" i="4"/>
  <c r="I399" i="4"/>
  <c r="E567" i="4"/>
  <c r="G508" i="4"/>
  <c r="E517" i="4"/>
  <c r="I431" i="4"/>
  <c r="O363" i="4"/>
  <c r="M372" i="4"/>
  <c r="C381" i="4"/>
  <c r="G304" i="4"/>
  <c r="E313" i="4"/>
  <c r="G322" i="4"/>
  <c r="K399" i="4"/>
  <c r="G313" i="4"/>
  <c r="E322" i="4"/>
  <c r="K272" i="4"/>
  <c r="I281" i="4"/>
  <c r="O263" i="4"/>
  <c r="M272" i="4"/>
  <c r="C281" i="4"/>
  <c r="I195" i="4"/>
  <c r="K313" i="4"/>
  <c r="I322" i="4"/>
  <c r="C254" i="4"/>
  <c r="E254" i="4"/>
  <c r="O281" i="4"/>
  <c r="O186" i="4"/>
  <c r="M195" i="4"/>
  <c r="C204" i="4"/>
  <c r="M213" i="4"/>
  <c r="C222" i="4"/>
  <c r="G136" i="4"/>
  <c r="E145" i="4"/>
  <c r="I77" i="4"/>
  <c r="O145" i="4"/>
  <c r="M154" i="4"/>
  <c r="C163" i="4"/>
  <c r="C77" i="4"/>
  <c r="M18" i="4"/>
  <c r="K27" i="4"/>
  <c r="I36" i="4"/>
  <c r="G154" i="4"/>
  <c r="E163" i="4"/>
  <c r="E77" i="4"/>
  <c r="K36" i="4"/>
  <c r="C45" i="4"/>
  <c r="E136" i="4"/>
  <c r="O163" i="4"/>
  <c r="M68" i="4"/>
  <c r="K95" i="4"/>
  <c r="I104" i="4"/>
  <c r="I18" i="4"/>
  <c r="G27" i="4"/>
  <c r="E36" i="4"/>
  <c r="M86" i="4"/>
  <c r="K45" i="4"/>
  <c r="C145" i="4"/>
  <c r="M36" i="4"/>
  <c r="G163" i="4"/>
  <c r="O77" i="4"/>
  <c r="C95" i="4"/>
  <c r="M136" i="4"/>
  <c r="O27" i="4"/>
  <c r="E45" i="4"/>
  <c r="M69" i="3"/>
  <c r="F362" i="3"/>
  <c r="F357" i="4"/>
  <c r="F242" i="3"/>
  <c r="F239" i="4"/>
  <c r="F482" i="3"/>
  <c r="F422" i="3"/>
  <c r="F542" i="3"/>
  <c r="F534" i="4"/>
  <c r="F62" i="4"/>
  <c r="F180" i="4"/>
  <c r="F182" i="3"/>
  <c r="F121" i="4"/>
  <c r="F302" i="3"/>
  <c r="F298" i="4"/>
  <c r="F122" i="3"/>
  <c r="F3" i="4"/>
  <c r="F593" i="4"/>
  <c r="F62" i="3"/>
  <c r="F3" i="3"/>
  <c r="F652" i="4"/>
  <c r="F416" i="4"/>
  <c r="F602" i="3"/>
  <c r="F662" i="3"/>
  <c r="F475" i="4"/>
  <c r="G254" i="3"/>
  <c r="I539" i="3"/>
  <c r="M59" i="3"/>
  <c r="E531" i="4"/>
  <c r="K74" i="3"/>
  <c r="C708" i="4"/>
  <c r="I434" i="3"/>
  <c r="K118" i="4"/>
  <c r="E236" i="4"/>
  <c r="G134" i="3"/>
  <c r="C413" i="4"/>
  <c r="E14" i="3"/>
  <c r="G354" i="4"/>
  <c r="I614" i="3"/>
  <c r="O567" i="3"/>
  <c r="O327" i="3"/>
  <c r="E599" i="3"/>
  <c r="M230" i="3"/>
  <c r="I350" i="3"/>
  <c r="M413" i="4"/>
  <c r="I179" i="3"/>
  <c r="M359" i="3"/>
  <c r="M236" i="4"/>
  <c r="E299" i="3"/>
  <c r="K134" i="3"/>
  <c r="O516" i="3"/>
  <c r="G295" i="4"/>
  <c r="E719" i="3"/>
  <c r="I59" i="4"/>
  <c r="K614" i="3"/>
  <c r="O710" i="3"/>
  <c r="O534" i="3"/>
  <c r="O539" i="3" s="1"/>
  <c r="O708" i="4"/>
  <c r="O114" i="3"/>
  <c r="O119" i="3" s="1"/>
  <c r="E118" i="4"/>
  <c r="E59" i="4"/>
  <c r="I295" i="4"/>
  <c r="K177" i="4"/>
  <c r="I236" i="4"/>
  <c r="K472" i="4"/>
  <c r="C118" i="4"/>
  <c r="O78" i="3"/>
  <c r="E119" i="3"/>
  <c r="O609" i="3"/>
  <c r="G177" i="4"/>
  <c r="C236" i="4"/>
  <c r="M531" i="4"/>
  <c r="C599" i="3"/>
  <c r="P599" i="3" s="1"/>
  <c r="O59" i="3"/>
  <c r="B396" i="3"/>
  <c r="C396" i="3" s="1"/>
  <c r="E472" i="4"/>
  <c r="M59" i="4"/>
  <c r="K708" i="4"/>
  <c r="K350" i="3"/>
  <c r="I354" i="4"/>
  <c r="O438" i="3"/>
  <c r="I719" i="3"/>
  <c r="K539" i="3"/>
  <c r="G236" i="4"/>
  <c r="G531" i="4"/>
  <c r="M295" i="4"/>
  <c r="K479" i="3"/>
  <c r="G74" i="3"/>
  <c r="O234" i="3"/>
  <c r="O239" i="3" s="1"/>
  <c r="O236" i="4"/>
  <c r="C354" i="4"/>
  <c r="O378" i="3"/>
  <c r="O230" i="3"/>
  <c r="O599" i="3"/>
  <c r="O714" i="3"/>
  <c r="O719" i="3" s="1"/>
  <c r="I472" i="4"/>
  <c r="C719" i="3"/>
  <c r="O138" i="3"/>
  <c r="O207" i="3"/>
  <c r="I708" i="4"/>
  <c r="O249" i="3"/>
  <c r="K413" i="4"/>
  <c r="C590" i="4"/>
  <c r="P590" i="4" s="1"/>
  <c r="O110" i="3"/>
  <c r="K59" i="4"/>
  <c r="I413" i="4"/>
  <c r="K295" i="4"/>
  <c r="E413" i="4"/>
  <c r="O147" i="3"/>
  <c r="O9" i="3"/>
  <c r="E419" i="3"/>
  <c r="K659" i="3"/>
  <c r="O336" i="3"/>
  <c r="G239" i="3"/>
  <c r="O590" i="3"/>
  <c r="M239" i="3"/>
  <c r="O507" i="3"/>
  <c r="G479" i="3"/>
  <c r="E708" i="4"/>
  <c r="K239" i="3"/>
  <c r="O179" i="3"/>
  <c r="K719" i="3"/>
  <c r="I239" i="3"/>
  <c r="O156" i="3"/>
  <c r="O87" i="3"/>
  <c r="E659" i="3"/>
  <c r="K599" i="3"/>
  <c r="O299" i="3"/>
  <c r="C119" i="3"/>
  <c r="I359" i="3"/>
  <c r="M590" i="4"/>
  <c r="I118" i="4"/>
  <c r="M354" i="4"/>
  <c r="O309" i="3"/>
  <c r="O387" i="3"/>
  <c r="E614" i="3"/>
  <c r="O678" i="3"/>
  <c r="I134" i="3"/>
  <c r="G719" i="3"/>
  <c r="M530" i="3"/>
  <c r="I659" i="3"/>
  <c r="G59" i="4"/>
  <c r="G419" i="3"/>
  <c r="O258" i="3"/>
  <c r="K590" i="4"/>
  <c r="M118" i="4"/>
  <c r="M719" i="3"/>
  <c r="O549" i="3"/>
  <c r="O456" i="3"/>
  <c r="G59" i="3"/>
  <c r="C295" i="4"/>
  <c r="M410" i="3"/>
  <c r="M599" i="3"/>
  <c r="I479" i="3"/>
  <c r="E590" i="4"/>
  <c r="O447" i="3"/>
  <c r="M177" i="4"/>
  <c r="K419" i="3"/>
  <c r="K230" i="3"/>
  <c r="G472" i="4"/>
  <c r="K119" i="3"/>
  <c r="G539" i="3"/>
  <c r="G708" i="4"/>
  <c r="C539" i="3"/>
  <c r="P539" i="3" s="1"/>
  <c r="M134" i="3"/>
  <c r="O285" i="3"/>
  <c r="O696" i="3"/>
  <c r="M419" i="3"/>
  <c r="C299" i="3"/>
  <c r="P299" i="3" s="1"/>
  <c r="O318" i="3"/>
  <c r="C59" i="3"/>
  <c r="O498" i="3"/>
  <c r="O350" i="3"/>
  <c r="E479" i="3"/>
  <c r="I531" i="4"/>
  <c r="K179" i="3"/>
  <c r="O627" i="3"/>
  <c r="G118" i="4"/>
  <c r="O295" i="4"/>
  <c r="O414" i="3"/>
  <c r="O419" i="3" s="1"/>
  <c r="G590" i="4"/>
  <c r="K434" i="3"/>
  <c r="M539" i="3"/>
  <c r="C239" i="3"/>
  <c r="G299" i="3"/>
  <c r="O354" i="3"/>
  <c r="O359" i="3" s="1"/>
  <c r="M179" i="3"/>
  <c r="I299" i="3"/>
  <c r="G119" i="3"/>
  <c r="O59" i="4"/>
  <c r="O669" i="3"/>
  <c r="E359" i="3"/>
  <c r="O189" i="3"/>
  <c r="K531" i="4"/>
  <c r="M350" i="3"/>
  <c r="D396" i="3"/>
  <c r="E396" i="3" s="1"/>
  <c r="C359" i="3"/>
  <c r="G179" i="3"/>
  <c r="M472" i="4"/>
  <c r="I74" i="3"/>
  <c r="I419" i="3"/>
  <c r="M119" i="3"/>
  <c r="M479" i="3"/>
  <c r="E239" i="3"/>
  <c r="O198" i="3"/>
  <c r="G359" i="3"/>
  <c r="O36" i="3"/>
  <c r="O558" i="3"/>
  <c r="K299" i="3"/>
  <c r="E295" i="4"/>
  <c r="I590" i="4"/>
  <c r="M299" i="3"/>
  <c r="K359" i="3"/>
  <c r="O618" i="3"/>
  <c r="O276" i="3"/>
  <c r="O216" i="3"/>
  <c r="I530" i="3"/>
  <c r="O636" i="3"/>
  <c r="K710" i="3"/>
  <c r="I254" i="3"/>
  <c r="I59" i="3"/>
  <c r="O69" i="3"/>
  <c r="O489" i="3"/>
  <c r="M659" i="3"/>
  <c r="E59" i="3"/>
  <c r="K354" i="4"/>
  <c r="E74" i="3"/>
  <c r="O410" i="3"/>
  <c r="O96" i="3"/>
  <c r="I599" i="3"/>
  <c r="G659" i="3"/>
  <c r="M710" i="3"/>
  <c r="F396" i="3"/>
  <c r="G396" i="3" s="1"/>
  <c r="E539" i="3"/>
  <c r="E134" i="3"/>
  <c r="N396" i="3"/>
  <c r="O396" i="3" s="1"/>
  <c r="G614" i="3"/>
  <c r="C59" i="4"/>
  <c r="P59" i="4" s="1"/>
  <c r="G413" i="4"/>
  <c r="J396" i="3"/>
  <c r="K396" i="3" s="1"/>
  <c r="M614" i="3"/>
  <c r="I177" i="4"/>
  <c r="O27" i="3"/>
  <c r="G599" i="3"/>
  <c r="O267" i="3"/>
  <c r="E374" i="3"/>
  <c r="O18" i="3"/>
  <c r="K236" i="4"/>
  <c r="O530" i="3"/>
  <c r="C419" i="3"/>
  <c r="C531" i="4"/>
  <c r="P531" i="4" s="1"/>
  <c r="G350" i="3"/>
  <c r="O129" i="3"/>
  <c r="H396" i="3"/>
  <c r="I396" i="3" s="1"/>
  <c r="E254" i="3"/>
  <c r="M708" i="4"/>
  <c r="O659" i="3"/>
  <c r="G434" i="3"/>
  <c r="O479" i="3"/>
  <c r="K59" i="3"/>
  <c r="K530" i="3"/>
  <c r="I119" i="3"/>
  <c r="O576" i="3"/>
  <c r="L396" i="3"/>
  <c r="M396" i="3" s="1"/>
  <c r="E434" i="3"/>
  <c r="E354" i="4"/>
  <c r="O687" i="3"/>
  <c r="E194" i="3"/>
  <c r="P295" i="4" l="1"/>
  <c r="P719" i="3"/>
  <c r="C194" i="3"/>
  <c r="C134" i="3"/>
  <c r="C614" i="3"/>
  <c r="C434" i="3"/>
  <c r="C374" i="3"/>
  <c r="C254" i="3"/>
  <c r="C14" i="3"/>
  <c r="P708" i="4"/>
  <c r="C494" i="3"/>
  <c r="C674" i="3"/>
  <c r="C74" i="3"/>
  <c r="E348" i="3"/>
  <c r="E350" i="3" s="1"/>
  <c r="C552" i="4"/>
  <c r="C554" i="4" s="1"/>
  <c r="M570" i="4"/>
  <c r="M572" i="4" s="1"/>
  <c r="M434" i="4"/>
  <c r="M436" i="4" s="1"/>
  <c r="C510" i="3" l="1"/>
  <c r="C512" i="3" s="1"/>
  <c r="C384" i="4"/>
  <c r="C386" i="4" s="1"/>
  <c r="O688" i="4"/>
  <c r="O690" i="4" s="1"/>
  <c r="K688" i="4"/>
  <c r="K690" i="4" s="1"/>
  <c r="G579" i="3"/>
  <c r="G581" i="3" s="1"/>
  <c r="I484" i="4"/>
  <c r="I486" i="4" s="1"/>
  <c r="O366" i="4"/>
  <c r="O368" i="4" s="1"/>
  <c r="G579" i="4"/>
  <c r="G581" i="4" s="1"/>
  <c r="O321" i="3"/>
  <c r="O323" i="3" s="1"/>
  <c r="I402" i="4"/>
  <c r="I404" i="4" s="1"/>
  <c r="K81" i="3"/>
  <c r="K83" i="3" s="1"/>
  <c r="C649" i="4"/>
  <c r="P649" i="4" s="1"/>
  <c r="K157" i="4"/>
  <c r="K159" i="4" s="1"/>
  <c r="E110" i="3"/>
  <c r="C375" i="4"/>
  <c r="C377" i="4" s="1"/>
  <c r="O543" i="4"/>
  <c r="O545" i="4" s="1"/>
  <c r="C520" i="4"/>
  <c r="C522" i="4" s="1"/>
  <c r="K21" i="4"/>
  <c r="K23" i="4" s="1"/>
  <c r="C90" i="3"/>
  <c r="C92" i="3" s="1"/>
  <c r="C561" i="4"/>
  <c r="C563" i="4" s="1"/>
  <c r="C39" i="4"/>
  <c r="C41" i="4" s="1"/>
  <c r="M72" i="3"/>
  <c r="C561" i="3"/>
  <c r="C563" i="3" s="1"/>
  <c r="O699" i="3"/>
  <c r="O701" i="3" s="1"/>
  <c r="M71" i="4"/>
  <c r="C343" i="4"/>
  <c r="C345" i="4" s="1"/>
  <c r="O132" i="3"/>
  <c r="O493" i="4"/>
  <c r="O495" i="4" s="1"/>
  <c r="C177" i="4"/>
  <c r="K39" i="4"/>
  <c r="K41" i="4" s="1"/>
  <c r="O130" i="4"/>
  <c r="M307" i="4"/>
  <c r="M309" i="4" s="1"/>
  <c r="C261" i="3"/>
  <c r="C263" i="3" s="1"/>
  <c r="C270" i="3"/>
  <c r="C272" i="3" s="1"/>
  <c r="O470" i="3"/>
  <c r="E620" i="4"/>
  <c r="E622" i="4" s="1"/>
  <c r="I207" i="4"/>
  <c r="I209" i="4" s="1"/>
  <c r="G284" i="4"/>
  <c r="G286" i="4" s="1"/>
  <c r="C219" i="3"/>
  <c r="C221" i="3" s="1"/>
  <c r="E402" i="4"/>
  <c r="E404" i="4" s="1"/>
  <c r="E375" i="4"/>
  <c r="E377" i="4" s="1"/>
  <c r="M107" i="4"/>
  <c r="M109" i="4" s="1"/>
  <c r="O511" i="4"/>
  <c r="O513" i="4" s="1"/>
  <c r="I168" i="4"/>
  <c r="M141" i="3"/>
  <c r="M143" i="3" s="1"/>
  <c r="E468" i="3"/>
  <c r="E470" i="3" s="1"/>
  <c r="I14" i="3"/>
  <c r="G570" i="3"/>
  <c r="G572" i="3" s="1"/>
  <c r="I170" i="3"/>
  <c r="M254" i="3"/>
  <c r="E450" i="3"/>
  <c r="E452" i="3" s="1"/>
  <c r="O372" i="3"/>
  <c r="O374" i="3" s="1"/>
  <c r="I681" i="3"/>
  <c r="I683" i="3" s="1"/>
  <c r="M470" i="3"/>
  <c r="M561" i="3"/>
  <c r="M563" i="3" s="1"/>
  <c r="G630" i="3"/>
  <c r="G632" i="3" s="1"/>
  <c r="M210" i="3"/>
  <c r="M212" i="3" s="1"/>
  <c r="I570" i="3"/>
  <c r="I572" i="3" s="1"/>
  <c r="E39" i="3"/>
  <c r="E41" i="3" s="1"/>
  <c r="I450" i="3"/>
  <c r="I452" i="3" s="1"/>
  <c r="M261" i="3"/>
  <c r="M263" i="3" s="1"/>
  <c r="M330" i="3"/>
  <c r="M332" i="3" s="1"/>
  <c r="M484" i="4"/>
  <c r="M486" i="4" s="1"/>
  <c r="I21" i="3"/>
  <c r="I23" i="3" s="1"/>
  <c r="E21" i="3"/>
  <c r="E23" i="3" s="1"/>
  <c r="E648" i="3"/>
  <c r="E650" i="3" s="1"/>
  <c r="G561" i="3"/>
  <c r="G563" i="3" s="1"/>
  <c r="I374" i="3"/>
  <c r="E30" i="3"/>
  <c r="E32" i="3" s="1"/>
  <c r="E314" i="3"/>
  <c r="K670" i="4"/>
  <c r="K672" i="4" s="1"/>
  <c r="I30" i="3"/>
  <c r="I32" i="3" s="1"/>
  <c r="O257" i="4"/>
  <c r="O259" i="4" s="1"/>
  <c r="E139" i="4"/>
  <c r="E141" i="4" s="1"/>
  <c r="E168" i="3"/>
  <c r="E170" i="3" s="1"/>
  <c r="M159" i="3"/>
  <c r="M161" i="3" s="1"/>
  <c r="M110" i="3"/>
  <c r="G81" i="3"/>
  <c r="G83" i="3" s="1"/>
  <c r="G690" i="3"/>
  <c r="G692" i="3" s="1"/>
  <c r="G48" i="3"/>
  <c r="G50" i="3" s="1"/>
  <c r="I90" i="3"/>
  <c r="I92" i="3" s="1"/>
  <c r="O427" i="4"/>
  <c r="G650" i="3"/>
  <c r="E639" i="3"/>
  <c r="E641" i="3" s="1"/>
  <c r="K39" i="3"/>
  <c r="K41" i="3" s="1"/>
  <c r="G39" i="4"/>
  <c r="G41" i="4" s="1"/>
  <c r="I48" i="4"/>
  <c r="I50" i="4" s="1"/>
  <c r="M201" i="3"/>
  <c r="M203" i="3" s="1"/>
  <c r="M30" i="3"/>
  <c r="M32" i="3" s="1"/>
  <c r="E510" i="3"/>
  <c r="E512" i="3" s="1"/>
  <c r="I210" i="3"/>
  <c r="I212" i="3" s="1"/>
  <c r="M279" i="3"/>
  <c r="M281" i="3" s="1"/>
  <c r="I470" i="3"/>
  <c r="I408" i="3"/>
  <c r="I410" i="3" s="1"/>
  <c r="G402" i="4"/>
  <c r="G404" i="4" s="1"/>
  <c r="E159" i="3"/>
  <c r="E161" i="3" s="1"/>
  <c r="K570" i="3"/>
  <c r="K572" i="3" s="1"/>
  <c r="M519" i="3"/>
  <c r="M521" i="3" s="1"/>
  <c r="K650" i="3"/>
  <c r="O459" i="3"/>
  <c r="O461" i="3" s="1"/>
  <c r="G279" i="3"/>
  <c r="G281" i="3" s="1"/>
  <c r="I492" i="3"/>
  <c r="I494" i="3" s="1"/>
  <c r="M21" i="3"/>
  <c r="M23" i="3" s="1"/>
  <c r="I588" i="3"/>
  <c r="I590" i="3" s="1"/>
  <c r="G390" i="3"/>
  <c r="G392" i="3" s="1"/>
  <c r="G168" i="3"/>
  <c r="G170" i="3" s="1"/>
  <c r="I339" i="3"/>
  <c r="I341" i="3" s="1"/>
  <c r="K588" i="3"/>
  <c r="K590" i="3" s="1"/>
  <c r="E519" i="3"/>
  <c r="E521" i="3" s="1"/>
  <c r="I99" i="3"/>
  <c r="I101" i="3" s="1"/>
  <c r="K470" i="3"/>
  <c r="K141" i="3"/>
  <c r="K143" i="3" s="1"/>
  <c r="I288" i="3"/>
  <c r="I290" i="3" s="1"/>
  <c r="K261" i="3"/>
  <c r="K263" i="3" s="1"/>
  <c r="I81" i="3"/>
  <c r="I83" i="3" s="1"/>
  <c r="K390" i="3"/>
  <c r="K392" i="3" s="1"/>
  <c r="E390" i="3"/>
  <c r="E392" i="3" s="1"/>
  <c r="I201" i="3"/>
  <c r="I203" i="3" s="1"/>
  <c r="K690" i="3"/>
  <c r="K692" i="3" s="1"/>
  <c r="E48" i="3"/>
  <c r="E50" i="3" s="1"/>
  <c r="K279" i="3"/>
  <c r="K281" i="3" s="1"/>
  <c r="G588" i="3"/>
  <c r="G590" i="3" s="1"/>
  <c r="K330" i="3"/>
  <c r="K332" i="3" s="1"/>
  <c r="E198" i="4"/>
  <c r="E200" i="4" s="1"/>
  <c r="M570" i="3"/>
  <c r="M572" i="3" s="1"/>
  <c r="K99" i="3"/>
  <c r="K101" i="3" s="1"/>
  <c r="E141" i="3"/>
  <c r="E143" i="3" s="1"/>
  <c r="K554" i="3"/>
  <c r="G321" i="3"/>
  <c r="G323" i="3" s="1"/>
  <c r="E150" i="3"/>
  <c r="E152" i="3" s="1"/>
  <c r="E528" i="3"/>
  <c r="E530" i="3" s="1"/>
  <c r="I39" i="3"/>
  <c r="I41" i="3" s="1"/>
  <c r="E699" i="3"/>
  <c r="E701" i="3" s="1"/>
  <c r="M339" i="3"/>
  <c r="M341" i="3" s="1"/>
  <c r="M219" i="3"/>
  <c r="M221" i="3" s="1"/>
  <c r="I690" i="3"/>
  <c r="I692" i="3" s="1"/>
  <c r="I510" i="3"/>
  <c r="I512" i="3" s="1"/>
  <c r="I672" i="3"/>
  <c r="I674" i="3" s="1"/>
  <c r="G21" i="3"/>
  <c r="G23" i="3" s="1"/>
  <c r="E99" i="3"/>
  <c r="E101" i="3" s="1"/>
  <c r="K570" i="4"/>
  <c r="K572" i="4" s="1"/>
  <c r="E570" i="3"/>
  <c r="E572" i="3" s="1"/>
  <c r="G399" i="3"/>
  <c r="G401" i="3" s="1"/>
  <c r="M312" i="3"/>
  <c r="M314" i="3" s="1"/>
  <c r="K639" i="3"/>
  <c r="K641" i="3" s="1"/>
  <c r="K150" i="3"/>
  <c r="K152" i="3" s="1"/>
  <c r="C21" i="3"/>
  <c r="C23" i="3" s="1"/>
  <c r="O393" i="4"/>
  <c r="O395" i="4" s="1"/>
  <c r="E629" i="4"/>
  <c r="E631" i="4" s="1"/>
  <c r="I670" i="4"/>
  <c r="I672" i="4" s="1"/>
  <c r="E148" i="4"/>
  <c r="E150" i="4" s="1"/>
  <c r="K441" i="3"/>
  <c r="K443" i="3" s="1"/>
  <c r="E408" i="3"/>
  <c r="E410" i="3" s="1"/>
  <c r="M39" i="4"/>
  <c r="M41" i="4" s="1"/>
  <c r="E179" i="3"/>
  <c r="G393" i="4"/>
  <c r="G395" i="4" s="1"/>
  <c r="K89" i="4"/>
  <c r="K91" i="4" s="1"/>
  <c r="I89" i="4"/>
  <c r="I91" i="4" s="1"/>
  <c r="I275" i="4"/>
  <c r="I277" i="4" s="1"/>
  <c r="G110" i="3"/>
  <c r="O611" i="4"/>
  <c r="O613" i="4" s="1"/>
  <c r="I159" i="3"/>
  <c r="I161" i="3" s="1"/>
  <c r="O441" i="3"/>
  <c r="O443" i="3" s="1"/>
  <c r="O189" i="4"/>
  <c r="O191" i="4" s="1"/>
  <c r="I80" i="4"/>
  <c r="I82" i="4" s="1"/>
  <c r="O519" i="3"/>
  <c r="O521" i="3" s="1"/>
  <c r="M679" i="4"/>
  <c r="M681" i="4" s="1"/>
  <c r="O157" i="4"/>
  <c r="O159" i="4" s="1"/>
  <c r="M650" i="3"/>
  <c r="G441" i="3"/>
  <c r="G443" i="3" s="1"/>
  <c r="E228" i="3"/>
  <c r="E230" i="3" s="1"/>
  <c r="G150" i="3"/>
  <c r="G152" i="3" s="1"/>
  <c r="M621" i="3"/>
  <c r="M623" i="3" s="1"/>
  <c r="G159" i="3"/>
  <c r="G161" i="3" s="1"/>
  <c r="K201" i="3"/>
  <c r="K203" i="3" s="1"/>
  <c r="M390" i="3"/>
  <c r="M392" i="3" s="1"/>
  <c r="M372" i="3"/>
  <c r="M374" i="3" s="1"/>
  <c r="O170" i="3"/>
  <c r="K450" i="3"/>
  <c r="K452" i="3" s="1"/>
  <c r="G450" i="3"/>
  <c r="G452" i="3" s="1"/>
  <c r="E90" i="3"/>
  <c r="E92" i="3" s="1"/>
  <c r="M39" i="3"/>
  <c r="M41" i="3" s="1"/>
  <c r="I110" i="3"/>
  <c r="M639" i="3"/>
  <c r="M641" i="3" s="1"/>
  <c r="E225" i="4"/>
  <c r="E227" i="4" s="1"/>
  <c r="I650" i="3"/>
  <c r="G408" i="3"/>
  <c r="G410" i="3" s="1"/>
  <c r="M630" i="3"/>
  <c r="M632" i="3" s="1"/>
  <c r="K321" i="3"/>
  <c r="K323" i="3" s="1"/>
  <c r="G519" i="3"/>
  <c r="G521" i="3" s="1"/>
  <c r="O248" i="4"/>
  <c r="O250" i="4" s="1"/>
  <c r="E219" i="3"/>
  <c r="E221" i="3" s="1"/>
  <c r="I21" i="4"/>
  <c r="I23" i="4" s="1"/>
  <c r="E266" i="4"/>
  <c r="E268" i="4" s="1"/>
  <c r="C472" i="4"/>
  <c r="P472" i="4" s="1"/>
  <c r="K519" i="3"/>
  <c r="K521" i="3" s="1"/>
  <c r="K459" i="3"/>
  <c r="K461" i="3" s="1"/>
  <c r="E207" i="4"/>
  <c r="E209" i="4" s="1"/>
  <c r="K219" i="3"/>
  <c r="K221" i="3" s="1"/>
  <c r="C39" i="3"/>
  <c r="C41" i="3" s="1"/>
  <c r="O501" i="3"/>
  <c r="O503" i="3" s="1"/>
  <c r="K501" i="3"/>
  <c r="K503" i="3" s="1"/>
  <c r="E561" i="3"/>
  <c r="E563" i="3" s="1"/>
  <c r="G90" i="3"/>
  <c r="G92" i="3" s="1"/>
  <c r="G459" i="3"/>
  <c r="G461" i="3" s="1"/>
  <c r="G210" i="3"/>
  <c r="G212" i="3" s="1"/>
  <c r="G621" i="3"/>
  <c r="G623" i="3" s="1"/>
  <c r="I261" i="3"/>
  <c r="I263" i="3" s="1"/>
  <c r="G330" i="3"/>
  <c r="G332" i="3" s="1"/>
  <c r="E459" i="3"/>
  <c r="E461" i="3" s="1"/>
  <c r="E381" i="3"/>
  <c r="E383" i="3" s="1"/>
  <c r="E441" i="3"/>
  <c r="E443" i="3" s="1"/>
  <c r="O650" i="3"/>
  <c r="I399" i="3"/>
  <c r="I401" i="3" s="1"/>
  <c r="I312" i="3"/>
  <c r="I314" i="3" s="1"/>
  <c r="E630" i="3"/>
  <c r="E632" i="3" s="1"/>
  <c r="G339" i="3"/>
  <c r="G341" i="3" s="1"/>
  <c r="I561" i="3"/>
  <c r="I563" i="3" s="1"/>
  <c r="G493" i="4"/>
  <c r="G495" i="4" s="1"/>
  <c r="K434" i="4"/>
  <c r="K436" i="4" s="1"/>
  <c r="I630" i="3"/>
  <c r="I632" i="3" s="1"/>
  <c r="C48" i="3"/>
  <c r="C50" i="3" s="1"/>
  <c r="I98" i="4"/>
  <c r="I100" i="4" s="1"/>
  <c r="G699" i="3"/>
  <c r="G701" i="3" s="1"/>
  <c r="I640" i="4"/>
  <c r="K110" i="3"/>
  <c r="M511" i="4"/>
  <c r="M513" i="4" s="1"/>
  <c r="E493" i="4"/>
  <c r="E495" i="4" s="1"/>
  <c r="K561" i="4"/>
  <c r="K563" i="4" s="1"/>
  <c r="I570" i="4"/>
  <c r="I572" i="4" s="1"/>
  <c r="K561" i="3"/>
  <c r="K563" i="3" s="1"/>
  <c r="M381" i="3"/>
  <c r="M383" i="3" s="1"/>
  <c r="K325" i="4"/>
  <c r="K327" i="4" s="1"/>
  <c r="C588" i="3"/>
  <c r="C590" i="3" s="1"/>
  <c r="K384" i="4"/>
  <c r="K386" i="4" s="1"/>
  <c r="G561" i="4"/>
  <c r="G563" i="4" s="1"/>
  <c r="M670" i="4"/>
  <c r="M672" i="4" s="1"/>
  <c r="O620" i="4"/>
  <c r="O622" i="4" s="1"/>
  <c r="E321" i="3"/>
  <c r="E323" i="3" s="1"/>
  <c r="M501" i="3"/>
  <c r="M503" i="3" s="1"/>
  <c r="G510" i="3"/>
  <c r="G512" i="3" s="1"/>
  <c r="O81" i="3"/>
  <c r="O83" i="3" s="1"/>
  <c r="G166" i="4"/>
  <c r="G168" i="4" s="1"/>
  <c r="E621" i="3"/>
  <c r="E623" i="3" s="1"/>
  <c r="I463" i="4"/>
  <c r="C30" i="3"/>
  <c r="C32" i="3" s="1"/>
  <c r="E579" i="3"/>
  <c r="E581" i="3" s="1"/>
  <c r="G463" i="4"/>
  <c r="K257" i="4"/>
  <c r="K259" i="4" s="1"/>
  <c r="G620" i="4"/>
  <c r="G622" i="4" s="1"/>
  <c r="O552" i="4"/>
  <c r="O554" i="4" s="1"/>
  <c r="M561" i="4"/>
  <c r="M563" i="4" s="1"/>
  <c r="M588" i="3"/>
  <c r="M590" i="3" s="1"/>
  <c r="M690" i="3"/>
  <c r="M692" i="3" s="1"/>
  <c r="O630" i="3"/>
  <c r="O632" i="3" s="1"/>
  <c r="I14" i="4"/>
  <c r="G501" i="3"/>
  <c r="G503" i="3" s="1"/>
  <c r="E325" i="4"/>
  <c r="E327" i="4" s="1"/>
  <c r="K312" i="3"/>
  <c r="K314" i="3" s="1"/>
  <c r="O640" i="4"/>
  <c r="K148" i="4"/>
  <c r="K150" i="4" s="1"/>
  <c r="K107" i="4"/>
  <c r="K109" i="4" s="1"/>
  <c r="K579" i="3"/>
  <c r="K581" i="3" s="1"/>
  <c r="O325" i="4"/>
  <c r="O327" i="4" s="1"/>
  <c r="G312" i="3"/>
  <c r="G314" i="3" s="1"/>
  <c r="K620" i="4"/>
  <c r="K622" i="4" s="1"/>
  <c r="K14" i="4"/>
  <c r="M90" i="3"/>
  <c r="M92" i="3" s="1"/>
  <c r="K48" i="3"/>
  <c r="K50" i="3" s="1"/>
  <c r="O399" i="3"/>
  <c r="O401" i="3" s="1"/>
  <c r="I225" i="4"/>
  <c r="I227" i="4" s="1"/>
  <c r="K484" i="4"/>
  <c r="K486" i="4" s="1"/>
  <c r="M399" i="3"/>
  <c r="M401" i="3" s="1"/>
  <c r="E399" i="3"/>
  <c r="E401" i="3" s="1"/>
  <c r="G30" i="4"/>
  <c r="G32" i="4" s="1"/>
  <c r="K493" i="4"/>
  <c r="K495" i="4" s="1"/>
  <c r="K502" i="4"/>
  <c r="K504" i="4" s="1"/>
  <c r="K672" i="3"/>
  <c r="K674" i="3" s="1"/>
  <c r="M150" i="3"/>
  <c r="M152" i="3" s="1"/>
  <c r="G201" i="3"/>
  <c r="G203" i="3" s="1"/>
  <c r="G528" i="3"/>
  <c r="G530" i="3" s="1"/>
  <c r="K30" i="3"/>
  <c r="K32" i="3" s="1"/>
  <c r="M441" i="3"/>
  <c r="M443" i="3" s="1"/>
  <c r="G708" i="3"/>
  <c r="G710" i="3" s="1"/>
  <c r="I511" i="4"/>
  <c r="I513" i="4" s="1"/>
  <c r="O98" i="4"/>
  <c r="O100" i="4" s="1"/>
  <c r="O207" i="4"/>
  <c r="O209" i="4" s="1"/>
  <c r="O41" i="4"/>
  <c r="I519" i="3"/>
  <c r="I521" i="3" s="1"/>
  <c r="M189" i="4"/>
  <c r="M191" i="4" s="1"/>
  <c r="C98" i="4"/>
  <c r="C100" i="4" s="1"/>
  <c r="M393" i="4"/>
  <c r="M395" i="4" s="1"/>
  <c r="M620" i="4"/>
  <c r="M622" i="4" s="1"/>
  <c r="I48" i="3"/>
  <c r="I50" i="3" s="1"/>
  <c r="O90" i="3"/>
  <c r="O92" i="3" s="1"/>
  <c r="O30" i="3"/>
  <c r="O32" i="3" s="1"/>
  <c r="E288" i="3"/>
  <c r="E290" i="3" s="1"/>
  <c r="O192" i="3"/>
  <c r="O194" i="3" s="1"/>
  <c r="K270" i="3"/>
  <c r="K272" i="3" s="1"/>
  <c r="O384" i="4"/>
  <c r="O386" i="4" s="1"/>
  <c r="M552" i="4"/>
  <c r="M554" i="4" s="1"/>
  <c r="K492" i="3"/>
  <c r="K494" i="3" s="1"/>
  <c r="E679" i="4"/>
  <c r="E681" i="4" s="1"/>
  <c r="I393" i="4"/>
  <c r="I395" i="4" s="1"/>
  <c r="C141" i="3"/>
  <c r="C143" i="3" s="1"/>
  <c r="M334" i="4"/>
  <c r="M336" i="4" s="1"/>
  <c r="C688" i="4"/>
  <c r="C690" i="4" s="1"/>
  <c r="G629" i="4"/>
  <c r="G631" i="4" s="1"/>
  <c r="K266" i="4"/>
  <c r="K268" i="4" s="1"/>
  <c r="O12" i="3"/>
  <c r="O14" i="3" s="1"/>
  <c r="O307" i="4"/>
  <c r="O309" i="4" s="1"/>
  <c r="K166" i="4"/>
  <c r="K168" i="4" s="1"/>
  <c r="O71" i="4"/>
  <c r="O73" i="4" s="1"/>
  <c r="C21" i="4"/>
  <c r="C23" i="4" s="1"/>
  <c r="K408" i="3"/>
  <c r="K410" i="3" s="1"/>
  <c r="O570" i="3"/>
  <c r="O572" i="3" s="1"/>
  <c r="M81" i="3"/>
  <c r="M83" i="3" s="1"/>
  <c r="K12" i="3"/>
  <c r="K375" i="4"/>
  <c r="K377" i="4" s="1"/>
  <c r="E339" i="3"/>
  <c r="E341" i="3" s="1"/>
  <c r="K372" i="3"/>
  <c r="K374" i="3" s="1"/>
  <c r="G30" i="3"/>
  <c r="G32" i="3" s="1"/>
  <c r="M170" i="3"/>
  <c r="I330" i="3"/>
  <c r="I332" i="3" s="1"/>
  <c r="C257" i="4"/>
  <c r="C259" i="4" s="1"/>
  <c r="K611" i="4"/>
  <c r="K613" i="4" s="1"/>
  <c r="M192" i="3"/>
  <c r="M194" i="3" s="1"/>
  <c r="E520" i="4"/>
  <c r="E522" i="4" s="1"/>
  <c r="O219" i="3"/>
  <c r="O221" i="3" s="1"/>
  <c r="E177" i="4"/>
  <c r="O679" i="4"/>
  <c r="O681" i="4" s="1"/>
  <c r="O639" i="3"/>
  <c r="O641" i="3" s="1"/>
  <c r="C288" i="3"/>
  <c r="C290" i="3" s="1"/>
  <c r="K90" i="3"/>
  <c r="K92" i="3" s="1"/>
  <c r="G494" i="3"/>
  <c r="G261" i="3"/>
  <c r="G263" i="3" s="1"/>
  <c r="I191" i="4"/>
  <c r="G107" i="4"/>
  <c r="G109" i="4" s="1"/>
  <c r="O672" i="3"/>
  <c r="O674" i="3" s="1"/>
  <c r="C461" i="4"/>
  <c r="C463" i="4" s="1"/>
  <c r="C501" i="3"/>
  <c r="C503" i="3" s="1"/>
  <c r="I661" i="4"/>
  <c r="I663" i="4" s="1"/>
  <c r="I611" i="4"/>
  <c r="I613" i="4" s="1"/>
  <c r="I316" i="4"/>
  <c r="I318" i="4" s="1"/>
  <c r="C443" i="4"/>
  <c r="C445" i="4" s="1"/>
  <c r="E81" i="3"/>
  <c r="E83" i="3" s="1"/>
  <c r="I697" i="4"/>
  <c r="I699" i="4" s="1"/>
  <c r="M139" i="4"/>
  <c r="M141" i="4" s="1"/>
  <c r="C638" i="4"/>
  <c r="C640" i="4" s="1"/>
  <c r="E270" i="3"/>
  <c r="E272" i="3" s="1"/>
  <c r="M257" i="4"/>
  <c r="M259" i="4" s="1"/>
  <c r="K339" i="3"/>
  <c r="K341" i="3" s="1"/>
  <c r="E316" i="4"/>
  <c r="E318" i="4" s="1"/>
  <c r="M12" i="3"/>
  <c r="M14" i="3" s="1"/>
  <c r="I441" i="3"/>
  <c r="I443" i="3" s="1"/>
  <c r="E166" i="4"/>
  <c r="E168" i="4" s="1"/>
  <c r="M366" i="4"/>
  <c r="M368" i="4" s="1"/>
  <c r="I459" i="3"/>
  <c r="I461" i="3" s="1"/>
  <c r="E670" i="4"/>
  <c r="E672" i="4" s="1"/>
  <c r="G216" i="4"/>
  <c r="G218" i="4" s="1"/>
  <c r="I708" i="3"/>
  <c r="I710" i="3" s="1"/>
  <c r="G316" i="4"/>
  <c r="G318" i="4" s="1"/>
  <c r="M579" i="4"/>
  <c r="M581" i="4" s="1"/>
  <c r="G198" i="4"/>
  <c r="G200" i="4" s="1"/>
  <c r="M375" i="4"/>
  <c r="M377" i="4" s="1"/>
  <c r="M325" i="4"/>
  <c r="M327" i="4" s="1"/>
  <c r="M270" i="3"/>
  <c r="M272" i="3" s="1"/>
  <c r="K139" i="4"/>
  <c r="K141" i="4" s="1"/>
  <c r="I228" i="3"/>
  <c r="I230" i="3" s="1"/>
  <c r="M443" i="4"/>
  <c r="M445" i="4" s="1"/>
  <c r="C511" i="4"/>
  <c r="C513" i="4" s="1"/>
  <c r="K48" i="4"/>
  <c r="K50" i="4" s="1"/>
  <c r="O670" i="4"/>
  <c r="O672" i="4" s="1"/>
  <c r="I284" i="4"/>
  <c r="I286" i="4" s="1"/>
  <c r="O288" i="3"/>
  <c r="O290" i="3" s="1"/>
  <c r="E330" i="3"/>
  <c r="E332" i="3" s="1"/>
  <c r="M459" i="3"/>
  <c r="M461" i="3" s="1"/>
  <c r="G141" i="3"/>
  <c r="G143" i="3" s="1"/>
  <c r="C402" i="4"/>
  <c r="C404" i="4" s="1"/>
  <c r="G688" i="4"/>
  <c r="G690" i="4" s="1"/>
  <c r="I139" i="4"/>
  <c r="I141" i="4" s="1"/>
  <c r="K98" i="4"/>
  <c r="K100" i="4" s="1"/>
  <c r="O279" i="3"/>
  <c r="O281" i="3" s="1"/>
  <c r="M543" i="4"/>
  <c r="M545" i="4" s="1"/>
  <c r="K443" i="4"/>
  <c r="K445" i="4" s="1"/>
  <c r="I266" i="4"/>
  <c r="I268" i="4" s="1"/>
  <c r="E216" i="4"/>
  <c r="E218" i="4" s="1"/>
  <c r="M450" i="3"/>
  <c r="M452" i="3" s="1"/>
  <c r="K679" i="4"/>
  <c r="K681" i="4" s="1"/>
  <c r="E611" i="4"/>
  <c r="E613" i="4" s="1"/>
  <c r="M166" i="4"/>
  <c r="M168" i="4" s="1"/>
  <c r="K21" i="3"/>
  <c r="K23" i="3" s="1"/>
  <c r="E89" i="4"/>
  <c r="E91" i="4" s="1"/>
  <c r="I434" i="4"/>
  <c r="I436" i="4" s="1"/>
  <c r="E284" i="4"/>
  <c r="E286" i="4" s="1"/>
  <c r="G611" i="4"/>
  <c r="G613" i="4" s="1"/>
  <c r="K275" i="4"/>
  <c r="K277" i="4" s="1"/>
  <c r="K402" i="4"/>
  <c r="K404" i="4" s="1"/>
  <c r="M275" i="4"/>
  <c r="M277" i="4" s="1"/>
  <c r="M266" i="4"/>
  <c r="M268" i="4" s="1"/>
  <c r="G21" i="4"/>
  <c r="G23" i="4" s="1"/>
  <c r="I157" i="4"/>
  <c r="I159" i="4" s="1"/>
  <c r="E502" i="4"/>
  <c r="E504" i="4" s="1"/>
  <c r="K640" i="4"/>
  <c r="G288" i="3"/>
  <c r="G290" i="3" s="1"/>
  <c r="C639" i="3"/>
  <c r="C641" i="3" s="1"/>
  <c r="G325" i="4"/>
  <c r="G327" i="4" s="1"/>
  <c r="K316" i="4"/>
  <c r="K318" i="4" s="1"/>
  <c r="E201" i="3"/>
  <c r="E203" i="3" s="1"/>
  <c r="O552" i="3"/>
  <c r="O554" i="3" s="1"/>
  <c r="C570" i="4"/>
  <c r="C572" i="4" s="1"/>
  <c r="C450" i="3"/>
  <c r="C452" i="3" s="1"/>
  <c r="C99" i="3"/>
  <c r="C101" i="3" s="1"/>
  <c r="O502" i="4"/>
  <c r="O504" i="4" s="1"/>
  <c r="C441" i="3"/>
  <c r="C443" i="3" s="1"/>
  <c r="C228" i="3"/>
  <c r="C230" i="3" s="1"/>
  <c r="G520" i="4"/>
  <c r="G522" i="4" s="1"/>
  <c r="G275" i="4"/>
  <c r="G277" i="4" s="1"/>
  <c r="K661" i="4"/>
  <c r="K663" i="4" s="1"/>
  <c r="O434" i="3"/>
  <c r="C399" i="3"/>
  <c r="C401" i="3" s="1"/>
  <c r="I501" i="3"/>
  <c r="I503" i="3" s="1"/>
  <c r="E48" i="4"/>
  <c r="E50" i="4" s="1"/>
  <c r="I579" i="4"/>
  <c r="I581" i="4" s="1"/>
  <c r="O312" i="3"/>
  <c r="O314" i="3" s="1"/>
  <c r="G80" i="4"/>
  <c r="G82" i="4" s="1"/>
  <c r="E443" i="4"/>
  <c r="E445" i="4" s="1"/>
  <c r="G670" i="4"/>
  <c r="G672" i="4" s="1"/>
  <c r="I368" i="4"/>
  <c r="C166" i="4"/>
  <c r="C168" i="4" s="1"/>
  <c r="E452" i="4"/>
  <c r="E454" i="4" s="1"/>
  <c r="E461" i="4"/>
  <c r="E463" i="4" s="1"/>
  <c r="O148" i="4"/>
  <c r="O150" i="4" s="1"/>
  <c r="M321" i="3"/>
  <c r="M323" i="3" s="1"/>
  <c r="E279" i="3"/>
  <c r="E281" i="3" s="1"/>
  <c r="E690" i="3"/>
  <c r="E692" i="3" s="1"/>
  <c r="M99" i="3"/>
  <c r="M101" i="3" s="1"/>
  <c r="I688" i="4"/>
  <c r="I690" i="4" s="1"/>
  <c r="O284" i="4"/>
  <c r="O286" i="4" s="1"/>
  <c r="M288" i="3"/>
  <c r="M290" i="3" s="1"/>
  <c r="C109" i="4"/>
  <c r="K511" i="4"/>
  <c r="K513" i="4" s="1"/>
  <c r="C81" i="3"/>
  <c r="C83" i="3" s="1"/>
  <c r="G452" i="4"/>
  <c r="G454" i="4" s="1"/>
  <c r="C479" i="3"/>
  <c r="P479" i="3" s="1"/>
  <c r="G681" i="3"/>
  <c r="G683" i="3" s="1"/>
  <c r="I384" i="4"/>
  <c r="I386" i="4" s="1"/>
  <c r="I621" i="3"/>
  <c r="I623" i="3" s="1"/>
  <c r="M611" i="4"/>
  <c r="M613" i="4" s="1"/>
  <c r="K288" i="3"/>
  <c r="K290" i="3" s="1"/>
  <c r="K552" i="4"/>
  <c r="K554" i="4" s="1"/>
  <c r="E697" i="4"/>
  <c r="E699" i="4" s="1"/>
  <c r="G48" i="4"/>
  <c r="G50" i="4" s="1"/>
  <c r="G570" i="4"/>
  <c r="G572" i="4" s="1"/>
  <c r="M198" i="4"/>
  <c r="M200" i="4" s="1"/>
  <c r="G39" i="3"/>
  <c r="G41" i="3" s="1"/>
  <c r="K621" i="3"/>
  <c r="K623" i="3" s="1"/>
  <c r="O690" i="3"/>
  <c r="O692" i="3" s="1"/>
  <c r="C452" i="4"/>
  <c r="C454" i="4" s="1"/>
  <c r="G270" i="3"/>
  <c r="G272" i="3" s="1"/>
  <c r="O99" i="3"/>
  <c r="O101" i="3" s="1"/>
  <c r="O21" i="4"/>
  <c r="O23" i="4" s="1"/>
  <c r="M510" i="3"/>
  <c r="M512" i="3" s="1"/>
  <c r="O463" i="4"/>
  <c r="E30" i="4"/>
  <c r="E32" i="4" s="1"/>
  <c r="E98" i="4"/>
  <c r="E100" i="4" s="1"/>
  <c r="G639" i="3"/>
  <c r="G641" i="3" s="1"/>
  <c r="I307" i="4"/>
  <c r="I309" i="4" s="1"/>
  <c r="C699" i="3"/>
  <c r="C701" i="3" s="1"/>
  <c r="G99" i="3"/>
  <c r="G101" i="3" s="1"/>
  <c r="M552" i="3"/>
  <c r="M554" i="3" s="1"/>
  <c r="E579" i="4"/>
  <c r="E581" i="4" s="1"/>
  <c r="M157" i="4"/>
  <c r="M159" i="4" s="1"/>
  <c r="I194" i="3"/>
  <c r="O166" i="4"/>
  <c r="O168" i="4" s="1"/>
  <c r="I699" i="3"/>
  <c r="I701" i="3" s="1"/>
  <c r="G307" i="4"/>
  <c r="G309" i="4" s="1"/>
  <c r="K210" i="3"/>
  <c r="K212" i="3" s="1"/>
  <c r="I579" i="3"/>
  <c r="I581" i="3" s="1"/>
  <c r="E511" i="4"/>
  <c r="E513" i="4" s="1"/>
  <c r="G640" i="4"/>
  <c r="C390" i="3"/>
  <c r="C392" i="3" s="1"/>
  <c r="K189" i="4"/>
  <c r="K191" i="4" s="1"/>
  <c r="M492" i="3"/>
  <c r="M494" i="3" s="1"/>
  <c r="O492" i="3"/>
  <c r="O494" i="3" s="1"/>
  <c r="O141" i="3"/>
  <c r="O143" i="3" s="1"/>
  <c r="M699" i="3"/>
  <c r="M701" i="3" s="1"/>
  <c r="M250" i="4"/>
  <c r="M21" i="4"/>
  <c r="M23" i="4" s="1"/>
  <c r="G139" i="4"/>
  <c r="G141" i="4" s="1"/>
  <c r="G443" i="4"/>
  <c r="G445" i="4" s="1"/>
  <c r="O339" i="3"/>
  <c r="O341" i="3" s="1"/>
  <c r="G663" i="4"/>
  <c r="M30" i="4"/>
  <c r="M32" i="4" s="1"/>
  <c r="M681" i="3"/>
  <c r="M683" i="3" s="1"/>
  <c r="G148" i="4"/>
  <c r="G150" i="4" s="1"/>
  <c r="I141" i="3"/>
  <c r="I143" i="3" s="1"/>
  <c r="C408" i="3"/>
  <c r="C410" i="3" s="1"/>
  <c r="I639" i="3"/>
  <c r="I641" i="3" s="1"/>
  <c r="O252" i="3"/>
  <c r="O254" i="3" s="1"/>
  <c r="O198" i="4"/>
  <c r="O200" i="4" s="1"/>
  <c r="I561" i="4"/>
  <c r="I563" i="4" s="1"/>
  <c r="I30" i="4"/>
  <c r="I32" i="4" s="1"/>
  <c r="E343" i="4"/>
  <c r="E345" i="4" s="1"/>
  <c r="O579" i="3"/>
  <c r="O581" i="3" s="1"/>
  <c r="I321" i="3"/>
  <c r="I323" i="3" s="1"/>
  <c r="O621" i="3"/>
  <c r="O623" i="3" s="1"/>
  <c r="I629" i="4"/>
  <c r="I631" i="4" s="1"/>
  <c r="M216" i="4"/>
  <c r="M218" i="4" s="1"/>
  <c r="I493" i="4"/>
  <c r="I495" i="4" s="1"/>
  <c r="G502" i="4"/>
  <c r="G504" i="4" s="1"/>
  <c r="M98" i="4"/>
  <c r="M100" i="4" s="1"/>
  <c r="O661" i="4"/>
  <c r="O663" i="4" s="1"/>
  <c r="G552" i="4"/>
  <c r="G554" i="4" s="1"/>
  <c r="C179" i="3"/>
  <c r="P179" i="3" s="1"/>
  <c r="C621" i="3"/>
  <c r="C623" i="3" s="1"/>
  <c r="I270" i="3"/>
  <c r="I272" i="3" s="1"/>
  <c r="C348" i="3"/>
  <c r="C350" i="3" s="1"/>
  <c r="P350" i="3" s="1"/>
  <c r="C620" i="4"/>
  <c r="C622" i="4" s="1"/>
  <c r="C579" i="4"/>
  <c r="C581" i="4" s="1"/>
  <c r="E501" i="3"/>
  <c r="E503" i="3" s="1"/>
  <c r="O39" i="3"/>
  <c r="O41" i="3" s="1"/>
  <c r="K170" i="3"/>
  <c r="K630" i="3"/>
  <c r="K632" i="3" s="1"/>
  <c r="K366" i="4"/>
  <c r="K368" i="4" s="1"/>
  <c r="M463" i="4"/>
  <c r="C659" i="3"/>
  <c r="P659" i="3" s="1"/>
  <c r="E275" i="4"/>
  <c r="E277" i="4" s="1"/>
  <c r="M493" i="4"/>
  <c r="M495" i="4" s="1"/>
  <c r="K381" i="3"/>
  <c r="K383" i="3" s="1"/>
  <c r="O381" i="3"/>
  <c r="O383" i="3" s="1"/>
  <c r="C393" i="4"/>
  <c r="C395" i="4" s="1"/>
  <c r="K307" i="4"/>
  <c r="K309" i="4" s="1"/>
  <c r="G225" i="4"/>
  <c r="G227" i="4" s="1"/>
  <c r="E393" i="4"/>
  <c r="E395" i="4" s="1"/>
  <c r="M672" i="3"/>
  <c r="M674" i="3" s="1"/>
  <c r="C330" i="3"/>
  <c r="C332" i="3" s="1"/>
  <c r="C80" i="4"/>
  <c r="C82" i="4" s="1"/>
  <c r="E588" i="3"/>
  <c r="E590" i="3" s="1"/>
  <c r="O390" i="3"/>
  <c r="O392" i="3" s="1"/>
  <c r="M502" i="4"/>
  <c r="M504" i="4" s="1"/>
  <c r="C528" i="3"/>
  <c r="C530" i="3" s="1"/>
  <c r="G384" i="4"/>
  <c r="G386" i="4" s="1"/>
  <c r="O484" i="4"/>
  <c r="O486" i="4" s="1"/>
  <c r="C708" i="3"/>
  <c r="C710" i="3" s="1"/>
  <c r="O375" i="4"/>
  <c r="O377" i="4" s="1"/>
  <c r="M89" i="4"/>
  <c r="M91" i="4" s="1"/>
  <c r="C629" i="4"/>
  <c r="C631" i="4" s="1"/>
  <c r="I452" i="4"/>
  <c r="I454" i="4" s="1"/>
  <c r="O561" i="4"/>
  <c r="O563" i="4" s="1"/>
  <c r="E257" i="4"/>
  <c r="E259" i="4" s="1"/>
  <c r="M384" i="4"/>
  <c r="M386" i="4" s="1"/>
  <c r="K510" i="3"/>
  <c r="K512" i="3" s="1"/>
  <c r="K159" i="3"/>
  <c r="K161" i="3" s="1"/>
  <c r="O261" i="3"/>
  <c r="O263" i="3" s="1"/>
  <c r="G257" i="4"/>
  <c r="G259" i="4" s="1"/>
  <c r="M80" i="4"/>
  <c r="M82" i="4" s="1"/>
  <c r="I39" i="4"/>
  <c r="I41" i="4" s="1"/>
  <c r="M629" i="4"/>
  <c r="M631" i="4" s="1"/>
  <c r="G375" i="4"/>
  <c r="G377" i="4" s="1"/>
  <c r="G674" i="3"/>
  <c r="M12" i="4"/>
  <c r="M14" i="4" s="1"/>
  <c r="O443" i="4"/>
  <c r="O445" i="4" s="1"/>
  <c r="K80" i="4"/>
  <c r="K82" i="4" s="1"/>
  <c r="G697" i="4"/>
  <c r="G699" i="4" s="1"/>
  <c r="I279" i="3"/>
  <c r="I281" i="3" s="1"/>
  <c r="I257" i="4"/>
  <c r="I259" i="4" s="1"/>
  <c r="O316" i="4"/>
  <c r="O318" i="4" s="1"/>
  <c r="C434" i="4"/>
  <c r="C436" i="4" s="1"/>
  <c r="K30" i="4"/>
  <c r="K32" i="4" s="1"/>
  <c r="I107" i="4"/>
  <c r="I109" i="4" s="1"/>
  <c r="O159" i="3"/>
  <c r="O161" i="3" s="1"/>
  <c r="O72" i="3"/>
  <c r="O74" i="3" s="1"/>
  <c r="K681" i="3"/>
  <c r="K683" i="3" s="1"/>
  <c r="C210" i="3"/>
  <c r="C212" i="3" s="1"/>
  <c r="C207" i="4"/>
  <c r="C209" i="4" s="1"/>
  <c r="M284" i="4"/>
  <c r="M286" i="4" s="1"/>
  <c r="O266" i="4"/>
  <c r="O268" i="4" s="1"/>
  <c r="O334" i="4"/>
  <c r="O336" i="4" s="1"/>
  <c r="I148" i="4"/>
  <c r="I150" i="4" s="1"/>
  <c r="C275" i="4"/>
  <c r="C277" i="4" s="1"/>
  <c r="K192" i="3"/>
  <c r="K194" i="3" s="1"/>
  <c r="M640" i="4"/>
  <c r="G486" i="4"/>
  <c r="C648" i="3"/>
  <c r="C650" i="3" s="1"/>
  <c r="C459" i="3"/>
  <c r="C461" i="3" s="1"/>
  <c r="E334" i="4"/>
  <c r="E336" i="4" s="1"/>
  <c r="C519" i="3"/>
  <c r="C521" i="3" s="1"/>
  <c r="C493" i="4"/>
  <c r="C495" i="4" s="1"/>
  <c r="O216" i="4"/>
  <c r="O218" i="4" s="1"/>
  <c r="C89" i="4"/>
  <c r="C91" i="4" s="1"/>
  <c r="M661" i="4"/>
  <c r="M663" i="4" s="1"/>
  <c r="O30" i="4"/>
  <c r="O32" i="4" s="1"/>
  <c r="O139" i="4"/>
  <c r="O141" i="4" s="1"/>
  <c r="C216" i="4"/>
  <c r="C218" i="4" s="1"/>
  <c r="O201" i="3"/>
  <c r="O203" i="3" s="1"/>
  <c r="C139" i="4"/>
  <c r="C141" i="4" s="1"/>
  <c r="C321" i="3"/>
  <c r="C323" i="3" s="1"/>
  <c r="O80" i="4"/>
  <c r="O82" i="4" s="1"/>
  <c r="I219" i="3"/>
  <c r="I221" i="3" s="1"/>
  <c r="I390" i="3"/>
  <c r="I392" i="3" s="1"/>
  <c r="E638" i="4"/>
  <c r="E640" i="4" s="1"/>
  <c r="O150" i="3"/>
  <c r="O152" i="3" s="1"/>
  <c r="G334" i="4"/>
  <c r="G336" i="4" s="1"/>
  <c r="K207" i="4"/>
  <c r="K209" i="4" s="1"/>
  <c r="G381" i="3"/>
  <c r="G383" i="3" s="1"/>
  <c r="I443" i="4"/>
  <c r="I445" i="4" s="1"/>
  <c r="E309" i="4"/>
  <c r="E21" i="4"/>
  <c r="E23" i="4" s="1"/>
  <c r="C611" i="4"/>
  <c r="C613" i="4" s="1"/>
  <c r="C48" i="4"/>
  <c r="C50" i="4" s="1"/>
  <c r="G219" i="3"/>
  <c r="G221" i="3" s="1"/>
  <c r="K198" i="4"/>
  <c r="K200" i="4" s="1"/>
  <c r="I216" i="4"/>
  <c r="I218" i="4" s="1"/>
  <c r="G228" i="3"/>
  <c r="G230" i="3" s="1"/>
  <c r="I552" i="4"/>
  <c r="I554" i="4" s="1"/>
  <c r="C579" i="3"/>
  <c r="C581" i="3" s="1"/>
  <c r="E261" i="3"/>
  <c r="E263" i="3" s="1"/>
  <c r="O210" i="3"/>
  <c r="O212" i="3" s="1"/>
  <c r="I198" i="4"/>
  <c r="I200" i="4" s="1"/>
  <c r="C148" i="4"/>
  <c r="C150" i="4" s="1"/>
  <c r="O89" i="4"/>
  <c r="O91" i="4" s="1"/>
  <c r="E681" i="3"/>
  <c r="E683" i="3" s="1"/>
  <c r="K452" i="4"/>
  <c r="K454" i="4" s="1"/>
  <c r="K699" i="3"/>
  <c r="K701" i="3" s="1"/>
  <c r="C201" i="3"/>
  <c r="C203" i="3" s="1"/>
  <c r="K216" i="4"/>
  <c r="K218" i="4" s="1"/>
  <c r="O275" i="4"/>
  <c r="O277" i="4" s="1"/>
  <c r="I381" i="3"/>
  <c r="I383" i="3" s="1"/>
  <c r="O629" i="4"/>
  <c r="O631" i="4" s="1"/>
  <c r="O452" i="4"/>
  <c r="O454" i="4" s="1"/>
  <c r="C110" i="3"/>
  <c r="G98" i="4"/>
  <c r="G100" i="4" s="1"/>
  <c r="M316" i="4"/>
  <c r="M318" i="4" s="1"/>
  <c r="I502" i="4"/>
  <c r="I504" i="4" s="1"/>
  <c r="C266" i="4"/>
  <c r="C268" i="4" s="1"/>
  <c r="I620" i="4"/>
  <c r="I622" i="4" s="1"/>
  <c r="C30" i="4"/>
  <c r="C32" i="4" s="1"/>
  <c r="I150" i="3"/>
  <c r="I152" i="3" s="1"/>
  <c r="C697" i="4"/>
  <c r="C699" i="4" s="1"/>
  <c r="C468" i="3"/>
  <c r="C470" i="3" s="1"/>
  <c r="C339" i="3"/>
  <c r="C341" i="3" s="1"/>
  <c r="E80" i="4"/>
  <c r="E82" i="4" s="1"/>
  <c r="E552" i="4"/>
  <c r="E554" i="4" s="1"/>
  <c r="C381" i="3"/>
  <c r="C383" i="3" s="1"/>
  <c r="E561" i="4"/>
  <c r="E563" i="4" s="1"/>
  <c r="K545" i="4"/>
  <c r="I679" i="4"/>
  <c r="I681" i="4" s="1"/>
  <c r="M579" i="3"/>
  <c r="M581" i="3" s="1"/>
  <c r="O570" i="4"/>
  <c r="O572" i="4" s="1"/>
  <c r="E384" i="4"/>
  <c r="E386" i="4" s="1"/>
  <c r="C279" i="3"/>
  <c r="C281" i="3" s="1"/>
  <c r="E434" i="4"/>
  <c r="E436" i="4" s="1"/>
  <c r="E39" i="4"/>
  <c r="E41" i="4" s="1"/>
  <c r="C630" i="3"/>
  <c r="C632" i="3" s="1"/>
  <c r="C284" i="4"/>
  <c r="C286" i="4" s="1"/>
  <c r="C150" i="3"/>
  <c r="C152" i="3" s="1"/>
  <c r="O330" i="3"/>
  <c r="O332" i="3" s="1"/>
  <c r="C679" i="4"/>
  <c r="C681" i="4" s="1"/>
  <c r="C681" i="3"/>
  <c r="C683" i="3" s="1"/>
  <c r="M207" i="4"/>
  <c r="M209" i="4" s="1"/>
  <c r="K393" i="4"/>
  <c r="K395" i="4" s="1"/>
  <c r="G679" i="4"/>
  <c r="G681" i="4" s="1"/>
  <c r="G157" i="4"/>
  <c r="G159" i="4" s="1"/>
  <c r="M452" i="4"/>
  <c r="M454" i="4" s="1"/>
  <c r="E570" i="4"/>
  <c r="E572" i="4" s="1"/>
  <c r="C690" i="3"/>
  <c r="C692" i="3" s="1"/>
  <c r="I375" i="4"/>
  <c r="I377" i="4" s="1"/>
  <c r="C570" i="3"/>
  <c r="C572" i="3" s="1"/>
  <c r="O510" i="3"/>
  <c r="O512" i="3" s="1"/>
  <c r="E210" i="3"/>
  <c r="E212" i="3" s="1"/>
  <c r="O602" i="4"/>
  <c r="C159" i="3"/>
  <c r="C161" i="3" s="1"/>
  <c r="C168" i="3"/>
  <c r="C170" i="3" s="1"/>
  <c r="G89" i="4"/>
  <c r="G91" i="4" s="1"/>
  <c r="G511" i="4"/>
  <c r="G513" i="4" s="1"/>
  <c r="G266" i="4"/>
  <c r="G268" i="4" s="1"/>
  <c r="K463" i="4"/>
  <c r="O434" i="4"/>
  <c r="O436" i="4" s="1"/>
  <c r="O450" i="3"/>
  <c r="O452" i="3" s="1"/>
  <c r="E708" i="3"/>
  <c r="E710" i="3" s="1"/>
  <c r="K399" i="3"/>
  <c r="K401" i="3" s="1"/>
  <c r="K334" i="4"/>
  <c r="K336" i="4" s="1"/>
  <c r="C225" i="4"/>
  <c r="C227" i="4" s="1"/>
  <c r="O681" i="3"/>
  <c r="O683" i="3" s="1"/>
  <c r="K629" i="4"/>
  <c r="K631" i="4" s="1"/>
  <c r="O12" i="4"/>
  <c r="O14" i="4" s="1"/>
  <c r="K579" i="4"/>
  <c r="K581" i="4" s="1"/>
  <c r="O561" i="3"/>
  <c r="O563" i="3" s="1"/>
  <c r="O612" i="3"/>
  <c r="G470" i="3"/>
  <c r="K284" i="4"/>
  <c r="K286" i="4" s="1"/>
  <c r="E107" i="4"/>
  <c r="E109" i="4" s="1"/>
  <c r="E157" i="4"/>
  <c r="E159" i="4" s="1"/>
  <c r="C670" i="4"/>
  <c r="C672" i="4" s="1"/>
  <c r="G434" i="4"/>
  <c r="G436" i="4" s="1"/>
  <c r="C325" i="4"/>
  <c r="C327" i="4" s="1"/>
  <c r="C334" i="4"/>
  <c r="C336" i="4" s="1"/>
  <c r="G207" i="4"/>
  <c r="G209" i="4" s="1"/>
  <c r="O21" i="3"/>
  <c r="O23" i="3" s="1"/>
  <c r="C502" i="4"/>
  <c r="C504" i="4" s="1"/>
  <c r="E688" i="4"/>
  <c r="E690" i="4" s="1"/>
  <c r="M688" i="4"/>
  <c r="M690" i="4" s="1"/>
  <c r="M148" i="4"/>
  <c r="M150" i="4" s="1"/>
  <c r="C198" i="4"/>
  <c r="C200" i="4" s="1"/>
  <c r="I334" i="4"/>
  <c r="I336" i="4" s="1"/>
  <c r="C316" i="4"/>
  <c r="C318" i="4" s="1"/>
  <c r="I325" i="4"/>
  <c r="I327" i="4" s="1"/>
  <c r="C157" i="4"/>
  <c r="C159" i="4" s="1"/>
  <c r="O270" i="3"/>
  <c r="O272" i="3" s="1"/>
  <c r="K14" i="3" l="1"/>
  <c r="P521" i="3"/>
  <c r="P23" i="3"/>
  <c r="P170" i="3"/>
  <c r="P341" i="3"/>
  <c r="P41" i="3"/>
  <c r="P32" i="3"/>
  <c r="P50" i="3"/>
  <c r="P227" i="4"/>
  <c r="P530" i="3"/>
  <c r="P623" i="3"/>
  <c r="P672" i="4"/>
  <c r="P203" i="3"/>
  <c r="P50" i="4"/>
  <c r="P32" i="4"/>
  <c r="P461" i="3"/>
  <c r="P323" i="3"/>
  <c r="P277" i="4"/>
  <c r="P572" i="3"/>
  <c r="P613" i="4"/>
  <c r="P110" i="3"/>
  <c r="P327" i="4"/>
  <c r="P681" i="4"/>
  <c r="P554" i="4"/>
  <c r="P410" i="3"/>
  <c r="P83" i="3"/>
  <c r="P443" i="3"/>
  <c r="P692" i="3"/>
  <c r="P495" i="4"/>
  <c r="P650" i="3"/>
  <c r="P383" i="3"/>
  <c r="P281" i="3"/>
  <c r="P141" i="4"/>
  <c r="P318" i="4"/>
  <c r="P632" i="3"/>
  <c r="E674" i="3"/>
  <c r="E486" i="4"/>
  <c r="P486" i="4" s="1"/>
  <c r="P159" i="4"/>
  <c r="P200" i="4"/>
  <c r="P336" i="4"/>
  <c r="G14" i="3"/>
  <c r="P161" i="3"/>
  <c r="P683" i="3"/>
  <c r="P152" i="3"/>
  <c r="P470" i="3"/>
  <c r="P212" i="3"/>
  <c r="P622" i="4"/>
  <c r="P454" i="4"/>
  <c r="P572" i="4"/>
  <c r="P404" i="4"/>
  <c r="P513" i="4"/>
  <c r="P690" i="4"/>
  <c r="P100" i="4"/>
  <c r="M427" i="4"/>
  <c r="P427" i="4" s="1"/>
  <c r="P263" i="3"/>
  <c r="P345" i="4"/>
  <c r="M74" i="3"/>
  <c r="P74" i="3" s="1"/>
  <c r="C309" i="4"/>
  <c r="P309" i="4" s="1"/>
  <c r="E494" i="3"/>
  <c r="P504" i="4"/>
  <c r="M434" i="3"/>
  <c r="K422" i="3" s="1"/>
  <c r="K421" i="3" s="1"/>
  <c r="K254" i="3"/>
  <c r="G374" i="3"/>
  <c r="O604" i="4"/>
  <c r="P604" i="4" s="1"/>
  <c r="E663" i="4"/>
  <c r="P663" i="4" s="1"/>
  <c r="G191" i="4"/>
  <c r="P191" i="4" s="1"/>
  <c r="G368" i="4"/>
  <c r="P368" i="4" s="1"/>
  <c r="P286" i="4"/>
  <c r="P699" i="4"/>
  <c r="P268" i="4"/>
  <c r="P150" i="4"/>
  <c r="P581" i="3"/>
  <c r="I554" i="3"/>
  <c r="P82" i="4"/>
  <c r="P392" i="3"/>
  <c r="P168" i="4"/>
  <c r="P641" i="3"/>
  <c r="P23" i="4"/>
  <c r="P590" i="3"/>
  <c r="K250" i="4"/>
  <c r="P250" i="4" s="1"/>
  <c r="P177" i="4"/>
  <c r="M73" i="4"/>
  <c r="P73" i="4" s="1"/>
  <c r="P41" i="4"/>
  <c r="P522" i="4"/>
  <c r="C314" i="3"/>
  <c r="P386" i="4"/>
  <c r="G14" i="4"/>
  <c r="P14" i="4" s="1"/>
  <c r="I545" i="4"/>
  <c r="P545" i="4" s="1"/>
  <c r="P436" i="4"/>
  <c r="P710" i="3"/>
  <c r="P332" i="3"/>
  <c r="P701" i="3"/>
  <c r="P109" i="4"/>
  <c r="P401" i="3"/>
  <c r="P101" i="3"/>
  <c r="P640" i="4"/>
  <c r="P445" i="4"/>
  <c r="P503" i="3"/>
  <c r="P290" i="3"/>
  <c r="P259" i="4"/>
  <c r="P143" i="3"/>
  <c r="P221" i="3"/>
  <c r="G194" i="3"/>
  <c r="P563" i="4"/>
  <c r="P512" i="3"/>
  <c r="O614" i="3"/>
  <c r="P218" i="4"/>
  <c r="P91" i="4"/>
  <c r="P209" i="4"/>
  <c r="P631" i="4"/>
  <c r="P395" i="4"/>
  <c r="P581" i="4"/>
  <c r="P230" i="3"/>
  <c r="P452" i="3"/>
  <c r="P463" i="4"/>
  <c r="P272" i="3"/>
  <c r="O132" i="4"/>
  <c r="P132" i="4" s="1"/>
  <c r="O134" i="3"/>
  <c r="P134" i="3" s="1"/>
  <c r="P563" i="3"/>
  <c r="P92" i="3"/>
  <c r="P377" i="4"/>
  <c r="G122" i="3" l="1"/>
  <c r="G121" i="3" s="1"/>
  <c r="I122" i="3"/>
  <c r="I121" i="3" s="1"/>
  <c r="K122" i="3"/>
  <c r="K121" i="3" s="1"/>
  <c r="G62" i="3"/>
  <c r="G61" i="3" s="1"/>
  <c r="K62" i="3"/>
  <c r="K61" i="3" s="1"/>
  <c r="I62" i="3"/>
  <c r="I61" i="3" s="1"/>
  <c r="P614" i="3"/>
  <c r="K602" i="3"/>
  <c r="K601" i="3" s="1"/>
  <c r="G602" i="3"/>
  <c r="G601" i="3" s="1"/>
  <c r="I602" i="3"/>
  <c r="I601" i="3" s="1"/>
  <c r="P194" i="3"/>
  <c r="K182" i="3"/>
  <c r="K181" i="3" s="1"/>
  <c r="I182" i="3"/>
  <c r="I181" i="3" s="1"/>
  <c r="G182" i="3"/>
  <c r="G181" i="3" s="1"/>
  <c r="P254" i="3"/>
  <c r="I242" i="3"/>
  <c r="I241" i="3" s="1"/>
  <c r="K242" i="3"/>
  <c r="K241" i="3" s="1"/>
  <c r="G242" i="3"/>
  <c r="G241" i="3" s="1"/>
  <c r="P314" i="3"/>
  <c r="I302" i="3"/>
  <c r="I301" i="3" s="1"/>
  <c r="G302" i="3"/>
  <c r="G301" i="3" s="1"/>
  <c r="K302" i="3"/>
  <c r="K301" i="3" s="1"/>
  <c r="P374" i="3"/>
  <c r="K362" i="3"/>
  <c r="K361" i="3" s="1"/>
  <c r="G362" i="3"/>
  <c r="G361" i="3" s="1"/>
  <c r="I362" i="3"/>
  <c r="I361" i="3" s="1"/>
  <c r="P434" i="3"/>
  <c r="G422" i="3"/>
  <c r="G421" i="3" s="1"/>
  <c r="I422" i="3"/>
  <c r="I421" i="3" s="1"/>
  <c r="P494" i="3"/>
  <c r="K482" i="3"/>
  <c r="K481" i="3" s="1"/>
  <c r="I482" i="3"/>
  <c r="I481" i="3" s="1"/>
  <c r="G482" i="3"/>
  <c r="G481" i="3" s="1"/>
  <c r="P554" i="3"/>
  <c r="K542" i="3"/>
  <c r="K541" i="3" s="1"/>
  <c r="I542" i="3"/>
  <c r="I541" i="3" s="1"/>
  <c r="G542" i="3"/>
  <c r="G541" i="3" s="1"/>
  <c r="P674" i="3"/>
  <c r="K662" i="3"/>
  <c r="I662" i="3"/>
  <c r="G662" i="3"/>
  <c r="P14" i="3"/>
  <c r="P5" i="3" s="1"/>
  <c r="I3" i="3" s="1"/>
  <c r="I3" i="4" s="1"/>
  <c r="N603" i="3" l="1"/>
  <c r="P605" i="3" s="1"/>
  <c r="I603" i="3" s="1"/>
  <c r="N63" i="3"/>
  <c r="P65" i="3" s="1"/>
  <c r="G63" i="3" s="1"/>
  <c r="N123" i="3"/>
  <c r="P125" i="3" s="1"/>
  <c r="I123" i="3" s="1"/>
  <c r="N303" i="3"/>
  <c r="P305" i="3" s="1"/>
  <c r="G303" i="3" s="1"/>
  <c r="G299" i="4" s="1"/>
  <c r="N183" i="3"/>
  <c r="P185" i="3" s="1"/>
  <c r="I183" i="3" s="1"/>
  <c r="F28" i="2" s="1"/>
  <c r="N243" i="3"/>
  <c r="P245" i="3" s="1"/>
  <c r="G243" i="3" s="1"/>
  <c r="G27" i="2" s="1"/>
  <c r="N363" i="3"/>
  <c r="P365" i="3" s="1"/>
  <c r="G363" i="3" s="1"/>
  <c r="C34" i="2" s="1"/>
  <c r="N423" i="3"/>
  <c r="P425" i="3" s="1"/>
  <c r="I423" i="3" s="1"/>
  <c r="D35" i="2" s="1"/>
  <c r="N483" i="3"/>
  <c r="P485" i="3" s="1"/>
  <c r="G483" i="3" s="1"/>
  <c r="E34" i="2" s="1"/>
  <c r="N543" i="3"/>
  <c r="P545" i="3" s="1"/>
  <c r="I543" i="3" s="1"/>
  <c r="F35" i="2" s="1"/>
  <c r="K3" i="3"/>
  <c r="K3" i="4" s="1"/>
  <c r="C41" i="2" s="1"/>
  <c r="G3" i="3"/>
  <c r="G4" i="3"/>
  <c r="I4" i="3"/>
  <c r="F24" i="2"/>
  <c r="F26" i="2"/>
  <c r="F25" i="2"/>
  <c r="K661" i="3"/>
  <c r="I661" i="3"/>
  <c r="G661" i="3"/>
  <c r="F32" i="2"/>
  <c r="F33" i="2"/>
  <c r="F31" i="2"/>
  <c r="C32" i="2"/>
  <c r="C33" i="2"/>
  <c r="C31" i="2"/>
  <c r="H25" i="2"/>
  <c r="H26" i="2"/>
  <c r="H24" i="2"/>
  <c r="G26" i="2"/>
  <c r="G24" i="2"/>
  <c r="G25" i="2"/>
  <c r="D33" i="2"/>
  <c r="D31" i="2"/>
  <c r="D32" i="2"/>
  <c r="E31" i="2"/>
  <c r="E32" i="2"/>
  <c r="E33" i="2"/>
  <c r="C40" i="2"/>
  <c r="G183" i="3" l="1"/>
  <c r="F27" i="2" s="1"/>
  <c r="I303" i="3"/>
  <c r="H28" i="2" s="1"/>
  <c r="G123" i="3"/>
  <c r="I363" i="3"/>
  <c r="C35" i="2" s="1"/>
  <c r="I243" i="3"/>
  <c r="G28" i="2" s="1"/>
  <c r="I663" i="3"/>
  <c r="H35" i="2" s="1"/>
  <c r="I483" i="3"/>
  <c r="E35" i="2" s="1"/>
  <c r="G603" i="3"/>
  <c r="G34" i="2" s="1"/>
  <c r="G663" i="3"/>
  <c r="H34" i="2" s="1"/>
  <c r="G543" i="3"/>
  <c r="F34" i="2" s="1"/>
  <c r="I63" i="3"/>
  <c r="D28" i="2" s="1"/>
  <c r="G423" i="3"/>
  <c r="D34" i="2" s="1"/>
  <c r="N663" i="3"/>
  <c r="P665" i="3" s="1"/>
  <c r="N3" i="3" s="1"/>
  <c r="P3" i="3" s="1"/>
  <c r="K180" i="4"/>
  <c r="F41" i="2" s="1"/>
  <c r="I180" i="4"/>
  <c r="F40" i="2" s="1"/>
  <c r="G4" i="4"/>
  <c r="C42" i="2" s="1"/>
  <c r="I181" i="4"/>
  <c r="F43" i="2" s="1"/>
  <c r="G3" i="4"/>
  <c r="C39" i="2" s="1"/>
  <c r="C24" i="2"/>
  <c r="I4" i="4"/>
  <c r="C43" i="2" s="1"/>
  <c r="H33" i="2"/>
  <c r="H31" i="2"/>
  <c r="H32" i="2"/>
  <c r="G180" i="4"/>
  <c r="F39" i="2" s="1"/>
  <c r="I121" i="4"/>
  <c r="E40" i="2" s="1"/>
  <c r="E25" i="2"/>
  <c r="K593" i="4"/>
  <c r="G48" i="2" s="1"/>
  <c r="G33" i="2"/>
  <c r="I62" i="4"/>
  <c r="D40" i="2" s="1"/>
  <c r="D25" i="2"/>
  <c r="G121" i="4"/>
  <c r="E39" i="2" s="1"/>
  <c r="E24" i="2"/>
  <c r="G62" i="4"/>
  <c r="D39" i="2" s="1"/>
  <c r="D24" i="2"/>
  <c r="G63" i="4"/>
  <c r="D42" i="2" s="1"/>
  <c r="D27" i="2"/>
  <c r="I122" i="4"/>
  <c r="E43" i="2" s="1"/>
  <c r="E28" i="2"/>
  <c r="G122" i="4"/>
  <c r="E42" i="2" s="1"/>
  <c r="E27" i="2"/>
  <c r="I593" i="4"/>
  <c r="G47" i="2" s="1"/>
  <c r="G32" i="2"/>
  <c r="K62" i="4"/>
  <c r="D41" i="2" s="1"/>
  <c r="D26" i="2"/>
  <c r="K121" i="4"/>
  <c r="E41" i="2" s="1"/>
  <c r="E26" i="2"/>
  <c r="I594" i="4"/>
  <c r="G50" i="2" s="1"/>
  <c r="G35" i="2"/>
  <c r="G593" i="4"/>
  <c r="G46" i="2" s="1"/>
  <c r="G31" i="2"/>
  <c r="G357" i="4"/>
  <c r="C46" i="2" s="1"/>
  <c r="K534" i="4"/>
  <c r="F48" i="2" s="1"/>
  <c r="G476" i="4"/>
  <c r="E49" i="2" s="1"/>
  <c r="G416" i="4"/>
  <c r="D46" i="2" s="1"/>
  <c r="G239" i="4"/>
  <c r="G39" i="2" s="1"/>
  <c r="K298" i="4"/>
  <c r="H41" i="2" s="1"/>
  <c r="K357" i="4"/>
  <c r="C48" i="2" s="1"/>
  <c r="I535" i="4"/>
  <c r="F50" i="2" s="1"/>
  <c r="K475" i="4"/>
  <c r="E48" i="2" s="1"/>
  <c r="K416" i="4"/>
  <c r="D48" i="2" s="1"/>
  <c r="I240" i="4"/>
  <c r="G43" i="2" s="1"/>
  <c r="I358" i="4"/>
  <c r="C50" i="2" s="1"/>
  <c r="G358" i="4"/>
  <c r="C49" i="2" s="1"/>
  <c r="I475" i="4"/>
  <c r="E47" i="2" s="1"/>
  <c r="I416" i="4"/>
  <c r="D47" i="2" s="1"/>
  <c r="K239" i="4"/>
  <c r="G41" i="2" s="1"/>
  <c r="I239" i="4"/>
  <c r="G40" i="2" s="1"/>
  <c r="I357" i="4"/>
  <c r="C47" i="2" s="1"/>
  <c r="G534" i="4"/>
  <c r="F46" i="2" s="1"/>
  <c r="I534" i="4"/>
  <c r="F47" i="2" s="1"/>
  <c r="G475" i="4"/>
  <c r="E46" i="2" s="1"/>
  <c r="I417" i="4"/>
  <c r="D50" i="2" s="1"/>
  <c r="G240" i="4"/>
  <c r="G42" i="2" s="1"/>
  <c r="G298" i="4"/>
  <c r="H39" i="2" s="1"/>
  <c r="I298" i="4"/>
  <c r="H40" i="2" s="1"/>
  <c r="H27" i="2"/>
  <c r="H42" i="2"/>
  <c r="I299" i="4" l="1"/>
  <c r="H43" i="2" s="1"/>
  <c r="G594" i="4"/>
  <c r="G49" i="2" s="1"/>
  <c r="G181" i="4"/>
  <c r="F42" i="2" s="1"/>
  <c r="I42" i="2" s="1"/>
  <c r="J42" i="2" s="1"/>
  <c r="I32" i="2"/>
  <c r="I476" i="4"/>
  <c r="E50" i="2" s="1"/>
  <c r="I63" i="4"/>
  <c r="D43" i="2" s="1"/>
  <c r="G417" i="4"/>
  <c r="D49" i="2" s="1"/>
  <c r="N62" i="3"/>
  <c r="N122" i="3"/>
  <c r="N182" i="3"/>
  <c r="N542" i="3"/>
  <c r="N362" i="3"/>
  <c r="N482" i="3"/>
  <c r="N422" i="3"/>
  <c r="N302" i="3"/>
  <c r="N662" i="3"/>
  <c r="N242" i="3"/>
  <c r="K652" i="4"/>
  <c r="H48" i="2" s="1"/>
  <c r="I48" i="2" s="1"/>
  <c r="G535" i="4"/>
  <c r="F49" i="2" s="1"/>
  <c r="G652" i="4"/>
  <c r="H46" i="2" s="1"/>
  <c r="I46" i="2" s="1"/>
  <c r="I653" i="4"/>
  <c r="H50" i="2" s="1"/>
  <c r="I652" i="4"/>
  <c r="H47" i="2" s="1"/>
  <c r="I47" i="2" s="1"/>
  <c r="G653" i="4"/>
  <c r="H49" i="2" s="1"/>
  <c r="I35" i="2"/>
  <c r="I31" i="2"/>
  <c r="I34" i="2"/>
  <c r="I24" i="2"/>
  <c r="I25" i="2"/>
  <c r="I33" i="2"/>
  <c r="L3" i="4"/>
  <c r="C44" i="2" s="1"/>
  <c r="I26" i="2"/>
  <c r="I39" i="2"/>
  <c r="I40" i="2"/>
  <c r="I41" i="2"/>
  <c r="I28" i="2"/>
  <c r="I27" i="2"/>
  <c r="L602" i="3"/>
  <c r="L662" i="3"/>
  <c r="L121" i="4"/>
  <c r="E44" i="2" s="1"/>
  <c r="L357" i="4"/>
  <c r="C51" i="2" s="1"/>
  <c r="L239" i="4"/>
  <c r="G44" i="2" s="1"/>
  <c r="L3" i="3"/>
  <c r="C29" i="2" s="1"/>
  <c r="L62" i="3"/>
  <c r="D29" i="2" s="1"/>
  <c r="L182" i="3"/>
  <c r="F29" i="2" s="1"/>
  <c r="L122" i="3"/>
  <c r="E29" i="2" s="1"/>
  <c r="L302" i="3"/>
  <c r="H29" i="2" s="1"/>
  <c r="L542" i="3"/>
  <c r="F36" i="2" s="1"/>
  <c r="L242" i="3"/>
  <c r="G29" i="2" s="1"/>
  <c r="L362" i="3"/>
  <c r="C36" i="2" s="1"/>
  <c r="L482" i="3"/>
  <c r="E36" i="2" s="1"/>
  <c r="L422" i="3"/>
  <c r="D36" i="2" s="1"/>
  <c r="I43" i="2" l="1"/>
  <c r="J43" i="2" s="1"/>
  <c r="L298" i="4"/>
  <c r="H44" i="2" s="1"/>
  <c r="L593" i="4"/>
  <c r="G51" i="2" s="1"/>
  <c r="L180" i="4"/>
  <c r="F44" i="2" s="1"/>
  <c r="J47" i="2"/>
  <c r="I50" i="2"/>
  <c r="J50" i="2" s="1"/>
  <c r="L475" i="4"/>
  <c r="E51" i="2" s="1"/>
  <c r="L62" i="4"/>
  <c r="D44" i="2" s="1"/>
  <c r="I44" i="2" s="1"/>
  <c r="L416" i="4"/>
  <c r="D51" i="2" s="1"/>
  <c r="I49" i="2"/>
  <c r="J49" i="2" s="1"/>
  <c r="L534" i="4"/>
  <c r="F51" i="2" s="1"/>
  <c r="L652" i="4"/>
  <c r="H51" i="2" s="1"/>
  <c r="J46" i="2"/>
  <c r="J39" i="2"/>
  <c r="J40" i="2"/>
  <c r="J48" i="2"/>
  <c r="I29" i="2"/>
  <c r="J41" i="2"/>
  <c r="H36" i="2"/>
  <c r="G36" i="2"/>
  <c r="N298" i="4" l="1"/>
  <c r="N239" i="4"/>
  <c r="N62" i="4"/>
  <c r="N121" i="4"/>
  <c r="N180" i="4"/>
  <c r="N3" i="4"/>
  <c r="N416" i="4"/>
  <c r="N534" i="4"/>
  <c r="N652" i="4"/>
  <c r="N593" i="4"/>
  <c r="N357" i="4"/>
  <c r="N475" i="4"/>
  <c r="J51" i="2"/>
  <c r="J44" i="2"/>
  <c r="I36" i="2"/>
  <c r="I51" i="2"/>
  <c r="H22" i="1" l="1"/>
  <c r="H17" i="1"/>
</calcChain>
</file>

<file path=xl/sharedStrings.xml><?xml version="1.0" encoding="utf-8"?>
<sst xmlns="http://schemas.openxmlformats.org/spreadsheetml/2006/main" count="2710" uniqueCount="157">
  <si>
    <t>Dato:</t>
  </si>
  <si>
    <t>TOTAL</t>
  </si>
  <si>
    <t>Sted</t>
  </si>
  <si>
    <t>Bolig nr.</t>
  </si>
  <si>
    <t xml:space="preserve">   </t>
  </si>
  <si>
    <t xml:space="preserve">    </t>
  </si>
  <si>
    <t xml:space="preserve">     </t>
  </si>
  <si>
    <t>Vask og leje af linned, håndklæder samt vask og små reparation af eget tøj</t>
  </si>
  <si>
    <t>I alt pr. måned som betales månedsvist forud via PBS/regning</t>
  </si>
  <si>
    <t>Vitterlighedsvidner for underskriftens ægthed og underskrivers habilitet:</t>
  </si>
  <si>
    <t>Underskrift:</t>
  </si>
  <si>
    <t>Stilling:</t>
  </si>
  <si>
    <t>Navn:</t>
  </si>
  <si>
    <t>Øvrige service ydelser*</t>
  </si>
  <si>
    <t>Faste ydelser*</t>
  </si>
  <si>
    <t>Biret</t>
  </si>
  <si>
    <t>Mellemmåltid</t>
  </si>
  <si>
    <t>Mandag</t>
  </si>
  <si>
    <t>Tirsdag</t>
  </si>
  <si>
    <t>Onsdag</t>
  </si>
  <si>
    <t>Torsdag</t>
  </si>
  <si>
    <t>Fredag</t>
  </si>
  <si>
    <t>Lørdag</t>
  </si>
  <si>
    <t>Søndag</t>
  </si>
  <si>
    <t>Morgenmad</t>
  </si>
  <si>
    <t>Hovedret</t>
  </si>
  <si>
    <t>Aftensmad</t>
  </si>
  <si>
    <t>sum</t>
  </si>
  <si>
    <t>Priser på enkeltmåltid</t>
  </si>
  <si>
    <t>Cpr.nr</t>
  </si>
  <si>
    <t xml:space="preserve">             </t>
  </si>
  <si>
    <t>JANUAR</t>
  </si>
  <si>
    <t xml:space="preserve">MÅNEDLIG TOTAL </t>
  </si>
  <si>
    <t xml:space="preserve">HOVEDTOTAL </t>
  </si>
  <si>
    <t>MANDAG</t>
  </si>
  <si>
    <t>TIRSDAG</t>
  </si>
  <si>
    <t>ONSDAG</t>
  </si>
  <si>
    <t>TORSDAG</t>
  </si>
  <si>
    <t>FREDAG</t>
  </si>
  <si>
    <t>LØRDAG</t>
  </si>
  <si>
    <t>SØNDAG</t>
  </si>
  <si>
    <t>UGENTLIG TOTAL</t>
  </si>
  <si>
    <t>BESKRIVELSE</t>
  </si>
  <si>
    <t>BELØB</t>
  </si>
  <si>
    <t>TOTALT</t>
  </si>
  <si>
    <t>FEBRUAR</t>
  </si>
  <si>
    <t>MARTS</t>
  </si>
  <si>
    <t>APRIL</t>
  </si>
  <si>
    <t>MAJ</t>
  </si>
  <si>
    <t>JUNI</t>
  </si>
  <si>
    <t>JULI</t>
  </si>
  <si>
    <t>AUGUST</t>
  </si>
  <si>
    <t>SEPTEMBER</t>
  </si>
  <si>
    <t>OKTOBER</t>
  </si>
  <si>
    <t>NOVEMBER</t>
  </si>
  <si>
    <t>DECEMBER</t>
  </si>
  <si>
    <t>Borger:</t>
  </si>
  <si>
    <t>Sted:</t>
  </si>
  <si>
    <t>Adresse</t>
  </si>
  <si>
    <t>Adresse:</t>
  </si>
  <si>
    <t>Januar</t>
  </si>
  <si>
    <t>Februar</t>
  </si>
  <si>
    <t>Marts</t>
  </si>
  <si>
    <t>April</t>
  </si>
  <si>
    <t>Maj</t>
  </si>
  <si>
    <t>Juni</t>
  </si>
  <si>
    <t>Juli</t>
  </si>
  <si>
    <t>August</t>
  </si>
  <si>
    <t>September</t>
  </si>
  <si>
    <t>Oktober</t>
  </si>
  <si>
    <t>November</t>
  </si>
  <si>
    <t>December</t>
  </si>
  <si>
    <t>Total</t>
  </si>
  <si>
    <t>Tilmeldingsgrad</t>
  </si>
  <si>
    <t>Sæt kryds</t>
  </si>
  <si>
    <t>Visiteret til - bevilling</t>
  </si>
  <si>
    <t>Madservice efter Serviceloven §83, stk. 1, nr.3 (deltager ikke i madfremstillingen)</t>
  </si>
  <si>
    <t>Tilmelding til frivilling kostordning</t>
  </si>
  <si>
    <t>Jeg ønsker at tilmelde mig kostordningen</t>
  </si>
  <si>
    <t>Jeg ønsker ikke at tilmelde mig kostordningen og sørger selv for indkøb og mad</t>
  </si>
  <si>
    <t>Pris</t>
  </si>
  <si>
    <t xml:space="preserve"> pr. måned</t>
  </si>
  <si>
    <t>Ændringer i tilmeldte måltider</t>
  </si>
  <si>
    <t>MÅNEDLIGE ÆNDRINGER</t>
  </si>
  <si>
    <t>REGULERING 1. KVT</t>
  </si>
  <si>
    <t>REGULERING 2. KVT</t>
  </si>
  <si>
    <t>pr. dag</t>
  </si>
  <si>
    <t>Til- og framelding:</t>
  </si>
  <si>
    <t>Der er mulighed for at framelde sig mpltider eller forplejning på enkelt måltider, med et varsel på to døgn. Der efterreguleres hvert halve år i forhold til til- og frameldinger</t>
  </si>
  <si>
    <t>Opsigelse</t>
  </si>
  <si>
    <t>Efterregulering af betalingen (halvårligt)</t>
  </si>
  <si>
    <t>1. halvår</t>
  </si>
  <si>
    <t>2. halvår</t>
  </si>
  <si>
    <t>x</t>
  </si>
  <si>
    <t>man</t>
  </si>
  <si>
    <t>tirs</t>
  </si>
  <si>
    <t>ons</t>
  </si>
  <si>
    <t>tors</t>
  </si>
  <si>
    <t>fre</t>
  </si>
  <si>
    <t>lør</t>
  </si>
  <si>
    <t>søn</t>
  </si>
  <si>
    <t>Sum</t>
  </si>
  <si>
    <t>1.halvår</t>
  </si>
  <si>
    <t>2.halvår</t>
  </si>
  <si>
    <t>Den frivillige kostordning kan opsiges med 1 måneds varsel til udgangen af den følgende måned. Du kan ikke opsige støtte til nødvendige praktiske opgaver fx madfremstilling, da der er tale om en bevilling. Du kan kontakte din sagsbegandler og sige, at du ønsker bevillingen ophørt.
Ved fraflytning gælder samme opsigelsesvarsel som ved framelding af måltider</t>
  </si>
  <si>
    <t>Gæstemåltider</t>
  </si>
  <si>
    <t>Gætemåltid-biret</t>
  </si>
  <si>
    <t>pr. måltid</t>
  </si>
  <si>
    <r>
      <t xml:space="preserve">Betalingsaftale for bevilgede og </t>
    </r>
    <r>
      <rPr>
        <b/>
        <sz val="24"/>
        <color rgb="FF000000"/>
        <rFont val="Calibri"/>
        <family val="2"/>
        <scheme val="minor"/>
      </rPr>
      <t xml:space="preserve">frivillige </t>
    </r>
    <r>
      <rPr>
        <b/>
        <sz val="24"/>
        <color theme="1"/>
        <rFont val="Calibri"/>
        <family val="2"/>
        <scheme val="minor"/>
      </rPr>
      <t>ydelser</t>
    </r>
  </si>
  <si>
    <t>mellemmåltid</t>
  </si>
  <si>
    <t xml:space="preserve">Betalingsoversigt </t>
  </si>
  <si>
    <t>Gennemsnitspris</t>
  </si>
  <si>
    <t>Regulering</t>
  </si>
  <si>
    <t>Oversigt over faste måltider pr. uge</t>
  </si>
  <si>
    <t>Måned</t>
  </si>
  <si>
    <t>værdi</t>
  </si>
  <si>
    <t>Gældende fra:</t>
  </si>
  <si>
    <t>til:</t>
  </si>
  <si>
    <t>Årstal</t>
  </si>
  <si>
    <t>datoformat</t>
  </si>
  <si>
    <t>slut 1.kv</t>
  </si>
  <si>
    <t>start 2.kv</t>
  </si>
  <si>
    <t>Enhed</t>
  </si>
  <si>
    <t>Enhed:</t>
  </si>
  <si>
    <t>Syvstjernen</t>
  </si>
  <si>
    <t>Gyldenhuset</t>
  </si>
  <si>
    <t>Varebørsen</t>
  </si>
  <si>
    <t>Grøntoften</t>
  </si>
  <si>
    <t>Askvej</t>
  </si>
  <si>
    <t>Bakkehaven</t>
  </si>
  <si>
    <t>Fregatten</t>
  </si>
  <si>
    <t>Jernstøberiet</t>
  </si>
  <si>
    <t>uden deltagelse</t>
  </si>
  <si>
    <t>med deltagelse</t>
  </si>
  <si>
    <t>Frokost</t>
  </si>
  <si>
    <t>Uden deltagelse</t>
  </si>
  <si>
    <t>Med deltagelse</t>
  </si>
  <si>
    <t>Kost med henblik på læring</t>
  </si>
  <si>
    <t>Faste ydelser</t>
  </si>
  <si>
    <t>Øvrige ydelser</t>
  </si>
  <si>
    <t>Pris pr. måltid</t>
  </si>
  <si>
    <t>SKABELON</t>
  </si>
  <si>
    <t>Takster 2022</t>
  </si>
  <si>
    <t>Lindhøj plejehjem</t>
  </si>
  <si>
    <t>Troelskær plejehjem</t>
  </si>
  <si>
    <t>Birkelund plejehjem</t>
  </si>
  <si>
    <t>Fjordly plejehjem</t>
  </si>
  <si>
    <t>Svanehøj plejehjem</t>
  </si>
  <si>
    <t>Dalsbo plejehjem</t>
  </si>
  <si>
    <t xml:space="preserve">  </t>
  </si>
  <si>
    <t xml:space="preserve"># til rulleknap </t>
  </si>
  <si>
    <t>*Priser pr. 1. januar 2023</t>
  </si>
  <si>
    <t>kr. 144,00</t>
  </si>
  <si>
    <t>kr. 148,00</t>
  </si>
  <si>
    <t>kr. 276,00</t>
  </si>
  <si>
    <t>kr. 4113,00</t>
  </si>
  <si>
    <t>kr. 4537,00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</si>
</sst>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164" formatCode="&quot;kr.&quot;#,##0.00_);\(&quot;kr.&quot;#,##0.00\)"/>
    <numFmt numFmtId="165" formatCode="_(* #,##0_);_(* \(#,##0\);_(* &quot;-&quot;_);_(@_)"/>
    <numFmt numFmtId="166" formatCode="_(* #,##0.00_);_(* \(#,##0.00\);_(* &quot;-&quot;??_);_(@_)"/>
    <numFmt numFmtId="167" formatCode="&quot;Kč&quot;\ #,##0.00"/>
    <numFmt numFmtId="168" formatCode="&quot;kr.&quot;\ #,##0.00"/>
    <numFmt numFmtId="169" formatCode="##\ ##\ ##\ ##"/>
    <numFmt numFmtId="170" formatCode="&quot;kr.&quot;\ #,##0.00;&quot;kr.&quot;\ \-#,##0.00"/>
    <numFmt numFmtId="171" formatCode="&quot;kr.&quot;\ #,##0"/>
    <numFmt numFmtId="172" formatCode="#,##0.00\ &quot;kr.&quot;"/>
    <numFmt numFmtId="173" formatCode="[$-F800]dddd\,\ mmmm\ dd\,\ yyyy"/>
    <numFmt numFmtId="174" formatCode="0#####\-####"/>
  </numFmts>
  <fonts count="54" x14ac:knownFonts="1">
    <font>
      <sz val="11"/>
      <color theme="1"/>
      <name val="Calibri"/>
      <family val="2"/>
      <scheme val="minor"/>
    </font>
    <font>
      <b/>
      <sz val="18"/>
      <color theme="1" tint="0.34998626667073579"/>
      <name val="Arial"/>
      <family val="2"/>
      <scheme val="major"/>
    </font>
    <font>
      <b/>
      <i/>
      <sz val="14"/>
      <color theme="1" tint="0.499984740745262"/>
      <name val="Arial"/>
      <family val="2"/>
      <scheme val="major"/>
    </font>
    <font>
      <b/>
      <sz val="11"/>
      <color theme="1"/>
      <name val="Calibri"/>
      <family val="2"/>
      <scheme val="minor"/>
    </font>
    <font>
      <sz val="11"/>
      <color theme="1"/>
      <name val="Calibri"/>
      <family val="2"/>
      <scheme val="minor"/>
    </font>
    <font>
      <b/>
      <sz val="11"/>
      <color theme="1" tint="0.34998626667073579"/>
      <name val="Arial"/>
      <family val="2"/>
      <scheme val="major"/>
    </font>
    <font>
      <sz val="11"/>
      <color theme="1"/>
      <name val="Arial"/>
      <family val="2"/>
      <scheme val="major"/>
    </font>
    <font>
      <sz val="11"/>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4"/>
      <color theme="0"/>
      <name val="Calibri"/>
      <family val="2"/>
      <scheme val="minor"/>
    </font>
    <font>
      <sz val="10"/>
      <color theme="1"/>
      <name val="Arial"/>
      <family val="2"/>
    </font>
    <font>
      <b/>
      <sz val="10"/>
      <color theme="1"/>
      <name val="Arial"/>
      <family val="2"/>
    </font>
    <font>
      <b/>
      <sz val="16"/>
      <color theme="1"/>
      <name val="Calibri"/>
      <family val="2"/>
      <scheme val="minor"/>
    </font>
    <font>
      <b/>
      <sz val="20"/>
      <color theme="1"/>
      <name val="Calibri"/>
      <family val="2"/>
      <scheme val="minor"/>
    </font>
    <font>
      <sz val="16"/>
      <color theme="1"/>
      <name val="Calibri"/>
      <family val="2"/>
      <scheme val="minor"/>
    </font>
    <font>
      <sz val="8"/>
      <color theme="1" tint="0.14996795556505021"/>
      <name val="Calibri"/>
      <family val="2"/>
      <scheme val="minor"/>
    </font>
    <font>
      <sz val="12"/>
      <color theme="0"/>
      <name val="Arial"/>
      <family val="1"/>
      <scheme val="major"/>
    </font>
    <font>
      <sz val="14"/>
      <color theme="0"/>
      <name val="Arial"/>
      <family val="1"/>
      <scheme val="major"/>
    </font>
    <font>
      <sz val="8"/>
      <color theme="0"/>
      <name val="Calibri"/>
      <family val="2"/>
      <scheme val="minor"/>
    </font>
    <font>
      <sz val="28"/>
      <color theme="3" tint="0.39994506668294322"/>
      <name val="Arial"/>
      <family val="1"/>
      <scheme val="major"/>
    </font>
    <font>
      <b/>
      <sz val="9"/>
      <color theme="1" tint="0.34998626667073579"/>
      <name val="Arial"/>
      <family val="1"/>
      <scheme val="major"/>
    </font>
    <font>
      <b/>
      <sz val="12"/>
      <color theme="0"/>
      <name val="Arial"/>
      <family val="1"/>
      <scheme val="major"/>
    </font>
    <font>
      <sz val="9"/>
      <color theme="0"/>
      <name val="Calibri"/>
      <family val="2"/>
      <scheme val="minor"/>
    </font>
    <font>
      <sz val="8"/>
      <name val="Calibri"/>
      <family val="2"/>
      <scheme val="minor"/>
    </font>
    <font>
      <sz val="10"/>
      <color theme="3" tint="-0.249977111117893"/>
      <name val="Arial"/>
      <family val="1"/>
      <scheme val="major"/>
    </font>
    <font>
      <sz val="8"/>
      <color theme="1"/>
      <name val="Calibri"/>
      <family val="2"/>
      <scheme val="minor"/>
    </font>
    <font>
      <sz val="8"/>
      <color theme="1" tint="0.499984740745262"/>
      <name val="Calibri"/>
      <family val="2"/>
      <scheme val="minor"/>
    </font>
    <font>
      <b/>
      <sz val="8"/>
      <color theme="0"/>
      <name val="Arial"/>
      <family val="1"/>
      <scheme val="major"/>
    </font>
    <font>
      <b/>
      <sz val="18"/>
      <name val="Calibri"/>
      <family val="2"/>
      <scheme val="minor"/>
    </font>
    <font>
      <b/>
      <sz val="24"/>
      <color theme="1"/>
      <name val="Calibri"/>
      <family val="2"/>
      <scheme val="minor"/>
    </font>
    <font>
      <b/>
      <sz val="24"/>
      <color rgb="FF000000"/>
      <name val="Calibri"/>
      <family val="2"/>
      <scheme val="minor"/>
    </font>
    <font>
      <sz val="11"/>
      <color theme="5" tint="0.39997558519241921"/>
      <name val="Calibri"/>
      <family val="2"/>
      <scheme val="minor"/>
    </font>
    <font>
      <b/>
      <sz val="16"/>
      <color theme="0"/>
      <name val="Calibri"/>
      <family val="2"/>
      <scheme val="minor"/>
    </font>
    <font>
      <b/>
      <sz val="16"/>
      <color theme="1" tint="0.34998626667073579"/>
      <name val="Arial"/>
      <family val="2"/>
      <scheme val="major"/>
    </font>
    <font>
      <b/>
      <sz val="16"/>
      <name val="Calibri"/>
      <family val="2"/>
      <scheme val="minor"/>
    </font>
    <font>
      <i/>
      <sz val="16"/>
      <color theme="1"/>
      <name val="Calibri"/>
      <family val="2"/>
      <scheme val="minor"/>
    </font>
    <font>
      <sz val="16"/>
      <color theme="1"/>
      <name val="Arial"/>
      <family val="2"/>
    </font>
    <font>
      <b/>
      <sz val="16"/>
      <color theme="1"/>
      <name val="Arial"/>
      <family val="2"/>
    </font>
    <font>
      <sz val="14"/>
      <color theme="1"/>
      <name val="Calibri"/>
      <family val="2"/>
      <scheme val="minor"/>
    </font>
    <font>
      <sz val="16"/>
      <color theme="0"/>
      <name val="Calibri"/>
      <family val="2"/>
      <scheme val="minor"/>
    </font>
    <font>
      <b/>
      <sz val="22"/>
      <color theme="0"/>
      <name val="Calibri"/>
      <family val="2"/>
      <scheme val="minor"/>
    </font>
    <font>
      <sz val="8"/>
      <color rgb="FFFF0000"/>
      <name val="Calibri"/>
      <family val="2"/>
      <scheme val="minor"/>
    </font>
    <font>
      <b/>
      <sz val="12"/>
      <color theme="4"/>
      <name val="Arial"/>
      <family val="1"/>
      <scheme val="major"/>
    </font>
    <font>
      <sz val="16"/>
      <name val="Calibri"/>
      <family val="2"/>
      <scheme val="minor"/>
    </font>
    <font>
      <sz val="10"/>
      <color theme="0"/>
      <name val="Arial"/>
      <family val="2"/>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bgColor theme="6"/>
      </patternFill>
    </fill>
    <fill>
      <patternFill patternType="solid">
        <fgColor theme="0"/>
        <bgColor indexed="64"/>
      </patternFill>
    </fill>
    <fill>
      <patternFill patternType="solid">
        <fgColor theme="3" tint="0.39997558519241921"/>
        <bgColor indexed="64"/>
      </patternFill>
    </fill>
    <fill>
      <patternFill patternType="solid">
        <fgColor theme="4"/>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2" tint="0.79998168889431442"/>
        <bgColor indexed="64"/>
      </patternFill>
    </fill>
    <fill>
      <patternFill patternType="solid">
        <fgColor theme="4" tint="0.79998168889431442"/>
        <bgColor indexed="64"/>
      </patternFill>
    </fill>
    <fill>
      <patternFill patternType="solid">
        <fgColor rgb="FF77A3A5"/>
        <bgColor indexed="64"/>
      </patternFill>
    </fill>
  </fills>
  <borders count="10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theme="6"/>
      </left>
      <right/>
      <top style="thin">
        <color theme="6"/>
      </top>
      <bottom/>
      <diagonal/>
    </border>
    <border>
      <left/>
      <right/>
      <top style="thin">
        <color theme="6"/>
      </top>
      <bottom/>
      <diagonal/>
    </border>
    <border>
      <left/>
      <right/>
      <top/>
      <bottom style="thin">
        <color indexed="64"/>
      </bottom>
      <diagonal/>
    </border>
    <border>
      <left style="thin">
        <color theme="6" tint="-0.24994659260841701"/>
      </left>
      <right style="thin">
        <color theme="6"/>
      </right>
      <top style="thin">
        <color theme="6"/>
      </top>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0"/>
      </right>
      <top/>
      <bottom/>
      <diagonal/>
    </border>
    <border>
      <left style="thin">
        <color theme="0"/>
      </left>
      <right style="medium">
        <color theme="0"/>
      </right>
      <top/>
      <bottom/>
      <diagonal/>
    </border>
    <border>
      <left style="thin">
        <color theme="0"/>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style="thin">
        <color theme="0" tint="-0.24994659260841701"/>
      </left>
      <right/>
      <top style="thin">
        <color theme="1" tint="0.499984740745262"/>
      </top>
      <bottom/>
      <diagonal/>
    </border>
    <border>
      <left/>
      <right style="thin">
        <color theme="0" tint="-0.24994659260841701"/>
      </right>
      <top style="thin">
        <color theme="1" tint="0.499984740745262"/>
      </top>
      <bottom/>
      <diagonal/>
    </border>
    <border>
      <left/>
      <right style="thin">
        <color theme="3" tint="0.39994506668294322"/>
      </right>
      <top style="thin">
        <color theme="1" tint="0.499984740745262"/>
      </top>
      <bottom/>
      <diagonal/>
    </border>
    <border>
      <left style="thin">
        <color theme="3" tint="0.39994506668294322"/>
      </left>
      <right/>
      <top style="thin">
        <color theme="1" tint="0.499984740745262"/>
      </top>
      <bottom/>
      <diagonal/>
    </border>
    <border>
      <left style="thin">
        <color theme="0" tint="-0.24994659260841701"/>
      </left>
      <right style="thin">
        <color theme="3" tint="0.39994506668294322"/>
      </right>
      <top style="thin">
        <color theme="1" tint="0.499984740745262"/>
      </top>
      <bottom/>
      <diagonal/>
    </border>
    <border>
      <left style="thin">
        <color theme="3" tint="0.39994506668294322"/>
      </left>
      <right style="thin">
        <color theme="0" tint="-0.24994659260841701"/>
      </right>
      <top style="thin">
        <color theme="1" tint="0.499984740745262"/>
      </top>
      <bottom/>
      <diagonal/>
    </border>
    <border>
      <left/>
      <right style="thin">
        <color theme="0" tint="-0.14993743705557422"/>
      </right>
      <top style="thin">
        <color theme="1" tint="0.499984740745262"/>
      </top>
      <bottom style="thin">
        <color theme="0" tint="-0.34998626667073579"/>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14996795556505021"/>
      </top>
      <bottom style="thin">
        <color theme="0" tint="-0.24994659260841701"/>
      </bottom>
      <diagonal/>
    </border>
    <border>
      <left/>
      <right/>
      <top style="thin">
        <color theme="0" tint="-0.14996795556505021"/>
      </top>
      <bottom/>
      <diagonal/>
    </border>
    <border>
      <left/>
      <right/>
      <top style="thin">
        <color theme="0" tint="-0.24994659260841701"/>
      </top>
      <bottom style="thin">
        <color theme="0" tint="-0.24994659260841701"/>
      </bottom>
      <diagonal/>
    </border>
    <border>
      <left/>
      <right style="thin">
        <color theme="0" tint="-0.14993743705557422"/>
      </right>
      <top/>
      <bottom/>
      <diagonal/>
    </border>
    <border>
      <left style="thin">
        <color theme="0" tint="-0.24994659260841701"/>
      </left>
      <right style="dotted">
        <color theme="0" tint="-0.14996795556505021"/>
      </right>
      <top/>
      <bottom style="thin">
        <color theme="0" tint="-0.14996795556505021"/>
      </bottom>
      <diagonal/>
    </border>
    <border>
      <left style="dotted">
        <color theme="0" tint="-0.14996795556505021"/>
      </left>
      <right/>
      <top/>
      <bottom style="thin">
        <color theme="0" tint="-0.14996795556505021"/>
      </bottom>
      <diagonal/>
    </border>
    <border>
      <left style="thin">
        <color theme="0" tint="-0.14996795556505021"/>
      </left>
      <right style="dotted">
        <color theme="0" tint="-0.14996795556505021"/>
      </right>
      <top/>
      <bottom style="thin">
        <color theme="0" tint="-0.14996795556505021"/>
      </bottom>
      <diagonal/>
    </border>
    <border>
      <left style="thin">
        <color theme="0" tint="-0.14996795556505021"/>
      </left>
      <right style="dotted">
        <color theme="0" tint="-0.14996795556505021"/>
      </right>
      <top style="thin">
        <color theme="0" tint="-0.14996795556505021"/>
      </top>
      <bottom style="thin">
        <color theme="0" tint="-0.14996795556505021"/>
      </bottom>
      <diagonal/>
    </border>
    <border>
      <left style="dotted">
        <color theme="0" tint="-0.14996795556505021"/>
      </left>
      <right style="thin">
        <color theme="0" tint="-0.14993743705557422"/>
      </right>
      <top/>
      <bottom style="thin">
        <color theme="0" tint="-0.14996795556505021"/>
      </bottom>
      <diagonal/>
    </border>
    <border>
      <left style="thin">
        <color theme="0" tint="-0.14996795556505021"/>
      </left>
      <right style="dotted">
        <color theme="0" tint="-0.14996795556505021"/>
      </right>
      <top style="thin">
        <color theme="0" tint="-0.14996795556505021"/>
      </top>
      <bottom style="dotted">
        <color theme="0" tint="-0.14996795556505021"/>
      </bottom>
      <diagonal/>
    </border>
    <border>
      <left style="dotted">
        <color theme="0" tint="-0.14996795556505021"/>
      </left>
      <right/>
      <top style="thin">
        <color theme="0" tint="-0.14996795556505021"/>
      </top>
      <bottom style="dotted">
        <color theme="0" tint="-0.14996795556505021"/>
      </bottom>
      <diagonal/>
    </border>
    <border>
      <left style="dotted">
        <color theme="0" tint="-0.14996795556505021"/>
      </left>
      <right style="thin">
        <color theme="0" tint="-0.14993743705557422"/>
      </right>
      <top style="thin">
        <color theme="0" tint="-0.14996795556505021"/>
      </top>
      <bottom style="dotted">
        <color theme="0" tint="-0.14996795556505021"/>
      </bottom>
      <diagonal/>
    </border>
    <border>
      <left style="thin">
        <color theme="0" tint="-0.14996795556505021"/>
      </left>
      <right style="dotted">
        <color theme="0" tint="-0.14996795556505021"/>
      </right>
      <top style="dotted">
        <color theme="0" tint="-0.14996795556505021"/>
      </top>
      <bottom style="dotted">
        <color theme="0" tint="-0.14996795556505021"/>
      </bottom>
      <diagonal/>
    </border>
    <border>
      <left style="dotted">
        <color theme="0" tint="-0.14996795556505021"/>
      </left>
      <right/>
      <top style="dotted">
        <color theme="0" tint="-0.14996795556505021"/>
      </top>
      <bottom style="dotted">
        <color theme="0" tint="-0.14996795556505021"/>
      </bottom>
      <diagonal/>
    </border>
    <border>
      <left style="dotted">
        <color theme="0" tint="-0.14996795556505021"/>
      </left>
      <right style="thin">
        <color theme="0" tint="-0.14993743705557422"/>
      </right>
      <top style="dotted">
        <color theme="0" tint="-0.14996795556505021"/>
      </top>
      <bottom style="dotted">
        <color theme="0" tint="-0.14996795556505021"/>
      </bottom>
      <diagonal/>
    </border>
    <border>
      <left style="thin">
        <color theme="0" tint="-0.14996795556505021"/>
      </left>
      <right style="dotted">
        <color theme="0" tint="-0.14996795556505021"/>
      </right>
      <top style="dotted">
        <color theme="0" tint="-0.14996795556505021"/>
      </top>
      <bottom/>
      <diagonal/>
    </border>
    <border>
      <left style="dotted">
        <color theme="0" tint="-0.14996795556505021"/>
      </left>
      <right/>
      <top style="dotted">
        <color theme="0" tint="-0.14996795556505021"/>
      </top>
      <bottom/>
      <diagonal/>
    </border>
    <border>
      <left style="dotted">
        <color theme="0" tint="-0.14996795556505021"/>
      </left>
      <right style="thin">
        <color theme="0" tint="-0.14993743705557422"/>
      </right>
      <top style="dotted">
        <color theme="0" tint="-0.14996795556505021"/>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3743705557422"/>
      </right>
      <top/>
      <bottom style="thin">
        <color theme="0" tint="-0.1499679555650502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14993743705557422"/>
      </right>
      <top style="thin">
        <color theme="0" tint="-0.24994659260841701"/>
      </top>
      <bottom/>
      <diagonal/>
    </border>
    <border>
      <left style="dotted">
        <color theme="0" tint="-0.14996795556505021"/>
      </left>
      <right/>
      <top style="thin">
        <color theme="0" tint="-0.14996795556505021"/>
      </top>
      <bottom style="thin">
        <color theme="0" tint="-0.14996795556505021"/>
      </bottom>
      <diagonal/>
    </border>
    <border>
      <left style="dotted">
        <color theme="0" tint="-0.14996795556505021"/>
      </left>
      <right style="thin">
        <color theme="0" tint="-0.14993743705557422"/>
      </right>
      <top style="thin">
        <color theme="0" tint="-0.14996795556505021"/>
      </top>
      <bottom style="thin">
        <color theme="0" tint="-0.14996795556505021"/>
      </bottom>
      <diagonal/>
    </border>
    <border>
      <left style="thin">
        <color theme="0" tint="-0.24994659260841701"/>
      </left>
      <right/>
      <top/>
      <bottom style="thin">
        <color theme="0" tint="-0.14996795556505021"/>
      </bottom>
      <diagonal/>
    </border>
    <border>
      <left style="thin">
        <color theme="0" tint="-0.14996795556505021"/>
      </left>
      <right style="dotted">
        <color theme="0" tint="-0.24994659260841701"/>
      </right>
      <top style="thin">
        <color theme="0" tint="-0.14996795556505021"/>
      </top>
      <bottom style="dotted">
        <color theme="0" tint="-0.14996795556505021"/>
      </bottom>
      <diagonal/>
    </border>
    <border>
      <left/>
      <right style="thin">
        <color theme="0" tint="-0.14993743705557422"/>
      </right>
      <top style="thin">
        <color theme="0" tint="-0.14996795556505021"/>
      </top>
      <bottom style="dotted">
        <color theme="0" tint="-0.14996795556505021"/>
      </bottom>
      <diagonal/>
    </border>
    <border>
      <left style="thin">
        <color theme="0" tint="-0.14996795556505021"/>
      </left>
      <right style="dotted">
        <color theme="0" tint="-0.24994659260841701"/>
      </right>
      <top style="dotted">
        <color theme="0" tint="-0.14996795556505021"/>
      </top>
      <bottom style="dotted">
        <color theme="0" tint="-0.14996795556505021"/>
      </bottom>
      <diagonal/>
    </border>
    <border>
      <left/>
      <right style="thin">
        <color theme="0" tint="-0.14993743705557422"/>
      </right>
      <top style="dotted">
        <color theme="0" tint="-0.14996795556505021"/>
      </top>
      <bottom style="dotted">
        <color theme="0" tint="-0.14996795556505021"/>
      </bottom>
      <diagonal/>
    </border>
    <border>
      <left style="thin">
        <color theme="0" tint="-0.14996795556505021"/>
      </left>
      <right style="dotted">
        <color theme="0" tint="-0.24994659260841701"/>
      </right>
      <top style="dotted">
        <color theme="0" tint="-0.14996795556505021"/>
      </top>
      <bottom/>
      <diagonal/>
    </border>
    <border>
      <left/>
      <right style="thin">
        <color theme="0" tint="-0.14993743705557422"/>
      </right>
      <top style="dotted">
        <color theme="0" tint="-0.14996795556505021"/>
      </top>
      <bottom/>
      <diagonal/>
    </border>
    <border>
      <left/>
      <right style="thin">
        <color theme="0" tint="-0.24994659260841701"/>
      </right>
      <top style="thin">
        <color theme="0" tint="-0.24994659260841701"/>
      </top>
      <bottom style="thin">
        <color theme="0" tint="-0.14996795556505021"/>
      </bottom>
      <diagonal/>
    </border>
    <border>
      <left style="thin">
        <color theme="0" tint="-0.24994659260841701"/>
      </left>
      <right/>
      <top style="thin">
        <color theme="0" tint="-0.24994659260841701"/>
      </top>
      <bottom style="thin">
        <color theme="0" tint="-0.14996795556505021"/>
      </bottom>
      <diagonal/>
    </border>
    <border>
      <left style="thin">
        <color theme="1" tint="0.499984740745262"/>
      </left>
      <right/>
      <top style="thin">
        <color theme="1" tint="0.499984740745262"/>
      </top>
      <bottom style="thin">
        <color theme="0" tint="-0.24994659260841701"/>
      </bottom>
      <diagonal/>
    </border>
    <border>
      <left/>
      <right style="thin">
        <color theme="0" tint="-0.24994659260841701"/>
      </right>
      <top style="thin">
        <color theme="1" tint="0.499984740745262"/>
      </top>
      <bottom style="thin">
        <color theme="0" tint="-0.24994659260841701"/>
      </bottom>
      <diagonal/>
    </border>
    <border>
      <left/>
      <right/>
      <top/>
      <bottom style="thin">
        <color theme="1" tint="0.499984740745262"/>
      </bottom>
      <diagonal/>
    </border>
    <border>
      <left style="thin">
        <color theme="0" tint="-0.24994659260841701"/>
      </left>
      <right/>
      <top style="thin">
        <color theme="1" tint="0.499984740745262"/>
      </top>
      <bottom style="thin">
        <color theme="0" tint="-0.14996795556505021"/>
      </bottom>
      <diagonal/>
    </border>
    <border>
      <left/>
      <right style="thin">
        <color theme="0" tint="-0.24994659260841701"/>
      </right>
      <top style="thin">
        <color theme="1" tint="0.499984740745262"/>
      </top>
      <bottom style="thin">
        <color theme="0" tint="-0.14996795556505021"/>
      </bottom>
      <diagonal/>
    </border>
    <border>
      <left style="thin">
        <color theme="1" tint="0.499984740745262"/>
      </left>
      <right/>
      <top style="thin">
        <color theme="1" tint="0.499984740745262"/>
      </top>
      <bottom style="thin">
        <color theme="0" tint="-0.14996795556505021"/>
      </bottom>
      <diagonal/>
    </border>
    <border>
      <left style="medium">
        <color theme="8"/>
      </left>
      <right style="medium">
        <color theme="8"/>
      </right>
      <top style="medium">
        <color theme="8"/>
      </top>
      <bottom style="medium">
        <color theme="8"/>
      </bottom>
      <diagonal/>
    </border>
    <border>
      <left style="thin">
        <color theme="6"/>
      </left>
      <right style="thin">
        <color theme="6"/>
      </right>
      <top style="thin">
        <color theme="6"/>
      </top>
      <bottom style="thin">
        <color theme="6"/>
      </bottom>
      <diagonal/>
    </border>
    <border>
      <left/>
      <right style="thin">
        <color theme="6"/>
      </right>
      <top style="thin">
        <color theme="6"/>
      </top>
      <bottom style="thin">
        <color theme="6"/>
      </bottom>
      <diagonal/>
    </border>
    <border>
      <left style="medium">
        <color theme="8"/>
      </left>
      <right/>
      <top style="medium">
        <color theme="8"/>
      </top>
      <bottom style="medium">
        <color theme="8"/>
      </bottom>
      <diagonal/>
    </border>
    <border>
      <left/>
      <right style="medium">
        <color theme="8"/>
      </right>
      <top style="medium">
        <color theme="8"/>
      </top>
      <bottom style="medium">
        <color theme="8"/>
      </bottom>
      <diagonal/>
    </border>
    <border>
      <left/>
      <right/>
      <top style="thin">
        <color indexed="64"/>
      </top>
      <bottom style="thin">
        <color rgb="FF00B050"/>
      </bottom>
      <diagonal/>
    </border>
    <border>
      <left/>
      <right style="thin">
        <color rgb="FF00B050"/>
      </right>
      <top/>
      <bottom/>
      <diagonal/>
    </border>
    <border>
      <left style="thin">
        <color rgb="FF00B050"/>
      </left>
      <right/>
      <top style="thin">
        <color indexed="64"/>
      </top>
      <bottom style="thin">
        <color rgb="FF00B050"/>
      </bottom>
      <diagonal/>
    </border>
    <border>
      <left/>
      <right style="thin">
        <color rgb="FF00B050"/>
      </right>
      <top style="thin">
        <color indexed="64"/>
      </top>
      <bottom style="thin">
        <color rgb="FF00B050"/>
      </bottom>
      <diagonal/>
    </border>
    <border>
      <left/>
      <right/>
      <top style="thin">
        <color rgb="FF00B050"/>
      </top>
      <bottom style="thin">
        <color indexed="64"/>
      </bottom>
      <diagonal/>
    </border>
    <border>
      <left/>
      <right/>
      <top style="thin">
        <color indexed="64"/>
      </top>
      <bottom style="thin">
        <color indexed="64"/>
      </bottom>
      <diagonal/>
    </border>
    <border>
      <left/>
      <right style="medium">
        <color theme="0"/>
      </right>
      <top/>
      <bottom/>
      <diagonal/>
    </border>
    <border>
      <left/>
      <right style="thin">
        <color theme="0"/>
      </right>
      <top/>
      <bottom style="thin">
        <color indexed="64"/>
      </bottom>
      <diagonal/>
    </border>
    <border>
      <left style="thin">
        <color theme="0"/>
      </left>
      <right style="medium">
        <color theme="0"/>
      </right>
      <top/>
      <bottom style="thin">
        <color indexed="64"/>
      </bottom>
      <diagonal/>
    </border>
    <border>
      <left style="thin">
        <color theme="0"/>
      </left>
      <right/>
      <top/>
      <bottom style="thin">
        <color indexed="64"/>
      </bottom>
      <diagonal/>
    </border>
    <border>
      <left style="medium">
        <color theme="0"/>
      </left>
      <right style="thin">
        <color theme="0"/>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6"/>
      </bottom>
      <diagonal/>
    </border>
    <border>
      <left/>
      <right style="thin">
        <color theme="6"/>
      </right>
      <top style="thin">
        <color theme="6"/>
      </top>
      <bottom/>
      <diagonal/>
    </border>
    <border>
      <left/>
      <right style="thin">
        <color theme="6"/>
      </right>
      <top/>
      <bottom/>
      <diagonal/>
    </border>
    <border>
      <left style="thin">
        <color theme="6"/>
      </left>
      <right/>
      <top/>
      <bottom/>
      <diagonal/>
    </border>
    <border>
      <left style="thin">
        <color indexed="64"/>
      </left>
      <right/>
      <top style="thin">
        <color indexed="64"/>
      </top>
      <bottom style="thin">
        <color indexed="64"/>
      </bottom>
      <diagonal/>
    </border>
    <border>
      <left/>
      <right style="thin">
        <color theme="6" tint="0.39997558519241921"/>
      </right>
      <top style="thin">
        <color theme="6" tint="0.39997558519241921"/>
      </top>
      <bottom style="thin">
        <color theme="6" tint="0.3999755851924192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s>
  <cellStyleXfs count="56">
    <xf numFmtId="0" fontId="0" fillId="0" borderId="0">
      <alignment horizontal="left" wrapText="1"/>
    </xf>
    <xf numFmtId="0" fontId="2" fillId="0" borderId="0" applyNumberFormat="0" applyFill="0" applyProtection="0"/>
    <xf numFmtId="0" fontId="5" fillId="0" borderId="0" applyNumberFormat="0" applyFill="0" applyProtection="0"/>
    <xf numFmtId="0" fontId="5" fillId="0" borderId="0" applyNumberFormat="0" applyFill="0" applyProtection="0">
      <alignment horizontal="left" vertical="top"/>
    </xf>
    <xf numFmtId="168" fontId="4" fillId="0" borderId="0" applyFont="0" applyFill="0" applyBorder="0" applyProtection="0">
      <alignment horizontal="right"/>
    </xf>
    <xf numFmtId="168" fontId="4" fillId="0" borderId="0" applyFill="0" applyBorder="0" applyProtection="0">
      <alignment horizontal="left"/>
    </xf>
    <xf numFmtId="0" fontId="1" fillId="0" borderId="0" applyNumberFormat="0" applyFill="0" applyBorder="0" applyProtection="0"/>
    <xf numFmtId="0" fontId="5" fillId="0" borderId="0" applyNumberFormat="0" applyFill="0" applyBorder="0" applyProtection="0">
      <alignment horizontal="right" vertical="top" indent="2"/>
    </xf>
    <xf numFmtId="14" fontId="6" fillId="0" borderId="0" applyFont="0" applyFill="0" applyBorder="0" applyAlignment="0"/>
    <xf numFmtId="169" fontId="4" fillId="0" borderId="0" applyFont="0" applyFill="0" applyBorder="0" applyAlignment="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167" fontId="4" fillId="0" borderId="0" applyFont="0" applyFill="0" applyBorder="0" applyProtection="0">
      <alignment horizontal="left"/>
    </xf>
    <xf numFmtId="0" fontId="7" fillId="0" borderId="1" applyNumberFormat="0" applyFill="0" applyAlignment="0" applyProtection="0"/>
    <xf numFmtId="0" fontId="3" fillId="0" borderId="0" applyNumberFormat="0" applyProtection="0">
      <alignment horizontal="right"/>
    </xf>
    <xf numFmtId="166"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2" applyNumberFormat="0" applyAlignment="0" applyProtection="0"/>
    <xf numFmtId="0" fontId="12" fillId="5" borderId="3" applyNumberFormat="0" applyAlignment="0" applyProtection="0"/>
    <xf numFmtId="0" fontId="13" fillId="0" borderId="4" applyNumberFormat="0" applyFill="0" applyAlignment="0" applyProtection="0"/>
    <xf numFmtId="0" fontId="14" fillId="6" borderId="5" applyNumberFormat="0" applyAlignment="0" applyProtection="0"/>
    <xf numFmtId="0" fontId="15" fillId="0" borderId="0" applyNumberFormat="0" applyFill="0" applyBorder="0" applyAlignment="0" applyProtection="0"/>
    <xf numFmtId="0" fontId="4" fillId="7" borderId="6" applyNumberFormat="0" applyFont="0" applyAlignment="0" applyProtection="0"/>
    <xf numFmtId="0" fontId="16" fillId="0" borderId="0" applyNumberFormat="0" applyFill="0" applyBorder="0" applyAlignment="0" applyProtection="0"/>
    <xf numFmtId="0" fontId="17"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7"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7"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7"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7"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7"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4" fillId="0" borderId="0">
      <alignment vertical="center"/>
    </xf>
    <xf numFmtId="0" fontId="28" fillId="0" borderId="0" applyNumberFormat="0" applyFill="0" applyBorder="0" applyAlignment="0" applyProtection="0"/>
    <xf numFmtId="0" fontId="29" fillId="0" borderId="0" applyNumberFormat="0" applyFill="0" applyBorder="0" applyProtection="0">
      <alignment horizontal="right"/>
    </xf>
    <xf numFmtId="0" fontId="35" fillId="0" borderId="0" applyNumberFormat="0" applyFill="0" applyBorder="0" applyAlignment="0" applyProtection="0"/>
  </cellStyleXfs>
  <cellXfs count="272">
    <xf numFmtId="0" fontId="0" fillId="0" borderId="0" xfId="0">
      <alignment horizontal="left" wrapText="1"/>
    </xf>
    <xf numFmtId="0" fontId="0" fillId="0" borderId="0" xfId="0" applyProtection="1">
      <alignment horizontal="left" wrapText="1"/>
    </xf>
    <xf numFmtId="0" fontId="5" fillId="0" borderId="0" xfId="2" applyAlignment="1" applyProtection="1"/>
    <xf numFmtId="0" fontId="19" fillId="0" borderId="0" xfId="0" applyFont="1" applyAlignment="1" applyProtection="1">
      <alignment horizontal="left" vertical="center" wrapText="1"/>
    </xf>
    <xf numFmtId="0" fontId="20" fillId="0" borderId="0" xfId="0" applyFont="1" applyAlignment="1" applyProtection="1">
      <alignment horizontal="left" vertical="center" wrapText="1"/>
    </xf>
    <xf numFmtId="0" fontId="0" fillId="33" borderId="0" xfId="0" applyFill="1" applyProtection="1">
      <alignment horizontal="left" wrapText="1"/>
    </xf>
    <xf numFmtId="0" fontId="5" fillId="33" borderId="0" xfId="2" applyFill="1" applyAlignment="1" applyProtection="1"/>
    <xf numFmtId="0" fontId="18" fillId="32" borderId="7" xfId="0" applyFont="1" applyFill="1" applyBorder="1" applyAlignment="1" applyProtection="1">
      <alignment horizontal="center" vertical="center" wrapText="1"/>
    </xf>
    <xf numFmtId="0" fontId="18" fillId="32" borderId="8" xfId="0" applyFont="1" applyFill="1" applyBorder="1" applyAlignment="1" applyProtection="1">
      <alignment horizontal="center" vertical="center" wrapText="1"/>
    </xf>
    <xf numFmtId="0" fontId="18" fillId="32" borderId="10" xfId="0" applyFont="1" applyFill="1" applyBorder="1" applyAlignment="1" applyProtection="1">
      <alignment horizontal="center" vertical="center" wrapText="1"/>
    </xf>
    <xf numFmtId="0" fontId="1" fillId="0" borderId="0" xfId="2" applyFont="1" applyAlignment="1" applyProtection="1"/>
    <xf numFmtId="168" fontId="36" fillId="35" borderId="46" xfId="52" applyNumberFormat="1" applyFont="1" applyFill="1" applyBorder="1" applyAlignment="1" applyProtection="1">
      <alignment horizontal="right" vertical="center"/>
    </xf>
    <xf numFmtId="168" fontId="36" fillId="35" borderId="47" xfId="52" applyNumberFormat="1" applyFont="1" applyFill="1" applyBorder="1" applyAlignment="1" applyProtection="1">
      <alignment horizontal="right" vertical="center"/>
    </xf>
    <xf numFmtId="0" fontId="25" fillId="34" borderId="0" xfId="52" applyFont="1" applyFill="1" applyAlignment="1" applyProtection="1">
      <alignment horizontal="right" vertical="center"/>
    </xf>
    <xf numFmtId="0" fontId="25" fillId="34" borderId="0" xfId="52" applyFont="1" applyFill="1" applyAlignment="1" applyProtection="1">
      <alignment vertical="center"/>
    </xf>
    <xf numFmtId="0" fontId="42" fillId="0" borderId="0" xfId="2" applyFont="1" applyAlignment="1" applyProtection="1"/>
    <xf numFmtId="0" fontId="23" fillId="0" borderId="0" xfId="0" applyFont="1" applyProtection="1">
      <alignment horizontal="left" wrapText="1"/>
    </xf>
    <xf numFmtId="0" fontId="21" fillId="0" borderId="0" xfId="0" applyFont="1" applyFill="1" applyBorder="1" applyAlignment="1" applyProtection="1">
      <alignment horizontal="left" vertical="center" wrapText="1"/>
    </xf>
    <xf numFmtId="14" fontId="23" fillId="0" borderId="0" xfId="8" applyFont="1" applyFill="1" applyBorder="1" applyAlignment="1" applyProtection="1">
      <alignment horizontal="left" vertical="center"/>
      <protection locked="0"/>
    </xf>
    <xf numFmtId="0" fontId="23" fillId="0" borderId="0" xfId="0" applyFont="1" applyFill="1" applyBorder="1" applyProtection="1">
      <alignment horizontal="left" wrapText="1"/>
    </xf>
    <xf numFmtId="0" fontId="23" fillId="0" borderId="0" xfId="0" applyFont="1" applyFill="1" applyBorder="1" applyAlignment="1" applyProtection="1">
      <alignment horizontal="right" wrapText="1"/>
    </xf>
    <xf numFmtId="168" fontId="23" fillId="0" borderId="0" xfId="0" applyNumberFormat="1" applyFont="1" applyFill="1" applyBorder="1" applyAlignment="1" applyProtection="1">
      <alignment horizontal="right"/>
    </xf>
    <xf numFmtId="14" fontId="23" fillId="0" borderId="7" xfId="8" applyNumberFormat="1" applyFont="1" applyBorder="1" applyAlignment="1" applyProtection="1">
      <alignment horizontal="left" vertical="center"/>
    </xf>
    <xf numFmtId="0" fontId="23" fillId="0" borderId="0" xfId="0" applyFont="1" applyFill="1" applyBorder="1" applyAlignment="1" applyProtection="1">
      <alignment horizontal="left"/>
    </xf>
    <xf numFmtId="0" fontId="23" fillId="0" borderId="0" xfId="0" applyFont="1" applyFill="1" applyBorder="1" applyAlignment="1" applyProtection="1">
      <alignment wrapText="1"/>
    </xf>
    <xf numFmtId="168" fontId="23" fillId="0" borderId="0" xfId="4" applyFont="1" applyFill="1" applyBorder="1" applyProtection="1">
      <alignment horizontal="right"/>
    </xf>
    <xf numFmtId="168" fontId="23" fillId="0" borderId="0" xfId="4" applyFont="1" applyFill="1" applyBorder="1" applyAlignment="1" applyProtection="1">
      <alignment horizontal="right" vertical="center"/>
    </xf>
    <xf numFmtId="0" fontId="46" fillId="0" borderId="0" xfId="0" applyFont="1" applyAlignment="1" applyProtection="1">
      <alignment horizontal="right" wrapText="1"/>
    </xf>
    <xf numFmtId="0" fontId="41" fillId="32" borderId="7" xfId="0" applyFont="1" applyFill="1" applyBorder="1" applyAlignment="1" applyProtection="1">
      <alignment horizontal="center" vertical="center" wrapText="1"/>
    </xf>
    <xf numFmtId="0" fontId="23" fillId="33" borderId="0" xfId="0" applyFont="1" applyFill="1" applyProtection="1">
      <alignment horizontal="left" wrapText="1"/>
    </xf>
    <xf numFmtId="168" fontId="21" fillId="38" borderId="68" xfId="4" applyFont="1" applyFill="1" applyBorder="1" applyAlignment="1" applyProtection="1">
      <alignment horizontal="center" vertical="center"/>
    </xf>
    <xf numFmtId="1" fontId="23" fillId="33" borderId="68" xfId="4" applyNumberFormat="1" applyFont="1" applyFill="1" applyBorder="1" applyAlignment="1" applyProtection="1">
      <alignment horizontal="center" vertical="center"/>
    </xf>
    <xf numFmtId="168" fontId="21" fillId="33" borderId="68" xfId="4" applyFont="1" applyFill="1" applyBorder="1" applyAlignment="1" applyProtection="1">
      <alignment horizontal="center" vertical="center"/>
    </xf>
    <xf numFmtId="168" fontId="21" fillId="33" borderId="68" xfId="0" applyNumberFormat="1" applyFont="1" applyFill="1" applyBorder="1" applyAlignment="1" applyProtection="1">
      <alignment horizontal="center" vertical="center" wrapText="1"/>
    </xf>
    <xf numFmtId="0" fontId="21" fillId="38" borderId="68" xfId="0" applyFont="1" applyFill="1" applyBorder="1" applyAlignment="1" applyProtection="1">
      <alignment horizontal="center" wrapText="1"/>
    </xf>
    <xf numFmtId="1" fontId="23" fillId="33" borderId="68" xfId="0" applyNumberFormat="1" applyFont="1" applyFill="1" applyBorder="1" applyAlignment="1" applyProtection="1">
      <alignment horizontal="center" wrapText="1"/>
    </xf>
    <xf numFmtId="0" fontId="21" fillId="38" borderId="68" xfId="0" applyFont="1" applyFill="1" applyBorder="1" applyAlignment="1" applyProtection="1">
      <alignment horizontal="center" vertical="center" wrapText="1"/>
    </xf>
    <xf numFmtId="0" fontId="21" fillId="33" borderId="0" xfId="0" applyFont="1" applyFill="1" applyProtection="1">
      <alignment horizontal="left" wrapText="1"/>
    </xf>
    <xf numFmtId="0" fontId="0" fillId="0" borderId="74" xfId="0" applyBorder="1" applyProtection="1">
      <alignment horizontal="left" wrapText="1"/>
    </xf>
    <xf numFmtId="0" fontId="41" fillId="32" borderId="7" xfId="0" applyFont="1" applyFill="1" applyBorder="1" applyAlignment="1" applyProtection="1">
      <alignment horizontal="left" vertical="center" wrapText="1"/>
    </xf>
    <xf numFmtId="171" fontId="21" fillId="33" borderId="68" xfId="4" applyNumberFormat="1" applyFont="1" applyFill="1" applyBorder="1" applyAlignment="1" applyProtection="1">
      <alignment horizontal="center" vertical="center"/>
    </xf>
    <xf numFmtId="171" fontId="21" fillId="33" borderId="68" xfId="0" applyNumberFormat="1" applyFont="1" applyFill="1" applyBorder="1" applyAlignment="1" applyProtection="1">
      <alignment horizontal="center" vertical="center" wrapText="1"/>
    </xf>
    <xf numFmtId="0" fontId="37" fillId="0" borderId="0" xfId="13" applyFont="1" applyBorder="1" applyAlignment="1" applyProtection="1">
      <alignment horizontal="left" wrapText="1"/>
    </xf>
    <xf numFmtId="0" fontId="43" fillId="0" borderId="0" xfId="13" applyFont="1" applyBorder="1" applyAlignment="1" applyProtection="1">
      <alignment horizontal="left" wrapText="1"/>
    </xf>
    <xf numFmtId="0" fontId="23" fillId="0" borderId="0" xfId="0" applyFont="1" applyAlignment="1" applyProtection="1">
      <alignment horizontal="right" wrapText="1"/>
    </xf>
    <xf numFmtId="0" fontId="23" fillId="0" borderId="0" xfId="0" applyFont="1" applyAlignment="1" applyProtection="1">
      <alignment wrapText="1"/>
    </xf>
    <xf numFmtId="168" fontId="21" fillId="0" borderId="69" xfId="4" applyNumberFormat="1" applyFont="1" applyBorder="1" applyAlignment="1" applyProtection="1">
      <alignment horizontal="center" vertical="center"/>
      <protection locked="0"/>
    </xf>
    <xf numFmtId="0" fontId="46" fillId="0" borderId="9" xfId="0" applyFont="1" applyBorder="1" applyAlignment="1" applyProtection="1">
      <alignment horizontal="right" wrapText="1"/>
    </xf>
    <xf numFmtId="0" fontId="25" fillId="34" borderId="0" xfId="52" applyFont="1" applyFill="1" applyProtection="1">
      <alignment vertical="center"/>
    </xf>
    <xf numFmtId="0" fontId="24" fillId="0" borderId="0" xfId="52" applyProtection="1">
      <alignment vertical="center"/>
    </xf>
    <xf numFmtId="0" fontId="27" fillId="0" borderId="0" xfId="52" applyFont="1" applyProtection="1">
      <alignment vertical="center"/>
    </xf>
    <xf numFmtId="0" fontId="40" fillId="0" borderId="9" xfId="52" applyFont="1" applyBorder="1" applyAlignment="1" applyProtection="1"/>
    <xf numFmtId="164" fontId="24" fillId="0" borderId="0" xfId="52" applyNumberFormat="1" applyProtection="1">
      <alignment vertical="center"/>
    </xf>
    <xf numFmtId="0" fontId="27" fillId="36" borderId="24" xfId="52" applyFont="1" applyFill="1" applyBorder="1" applyAlignment="1" applyProtection="1">
      <alignment horizontal="center" vertical="center"/>
    </xf>
    <xf numFmtId="0" fontId="32" fillId="0" borderId="0" xfId="52" applyFont="1" applyProtection="1">
      <alignment vertical="center"/>
    </xf>
    <xf numFmtId="0" fontId="33" fillId="37" borderId="25" xfId="0" applyNumberFormat="1" applyFont="1" applyFill="1" applyBorder="1" applyAlignment="1" applyProtection="1">
      <alignment horizontal="centerContinuous" vertical="center"/>
    </xf>
    <xf numFmtId="0" fontId="33" fillId="37" borderId="26" xfId="0" applyNumberFormat="1" applyFont="1" applyFill="1" applyBorder="1" applyAlignment="1" applyProtection="1">
      <alignment horizontal="centerContinuous" vertical="center"/>
    </xf>
    <xf numFmtId="0" fontId="33" fillId="37" borderId="27" xfId="0" applyNumberFormat="1" applyFont="1" applyFill="1" applyBorder="1" applyAlignment="1" applyProtection="1">
      <alignment horizontal="centerContinuous" vertical="center"/>
    </xf>
    <xf numFmtId="0" fontId="33" fillId="37" borderId="28" xfId="0" applyNumberFormat="1" applyFont="1" applyFill="1" applyBorder="1" applyAlignment="1" applyProtection="1">
      <alignment horizontal="centerContinuous" vertical="center"/>
    </xf>
    <xf numFmtId="0" fontId="33" fillId="37" borderId="29" xfId="0" applyNumberFormat="1" applyFont="1" applyFill="1" applyBorder="1" applyAlignment="1" applyProtection="1">
      <alignment horizontal="centerContinuous" vertical="center"/>
    </xf>
    <xf numFmtId="0" fontId="34" fillId="37" borderId="30" xfId="52" applyFont="1" applyFill="1" applyBorder="1" applyAlignment="1" applyProtection="1">
      <alignment vertical="center"/>
    </xf>
    <xf numFmtId="0" fontId="35" fillId="0" borderId="31" xfId="55" applyNumberFormat="1" applyBorder="1" applyAlignment="1" applyProtection="1">
      <alignment vertical="center"/>
    </xf>
    <xf numFmtId="0" fontId="35" fillId="0" borderId="32" xfId="55" applyNumberFormat="1" applyBorder="1" applyAlignment="1" applyProtection="1">
      <alignment horizontal="right" vertical="center"/>
    </xf>
    <xf numFmtId="0" fontId="35" fillId="0" borderId="33" xfId="55" applyNumberFormat="1" applyBorder="1" applyAlignment="1" applyProtection="1">
      <alignment vertical="center"/>
    </xf>
    <xf numFmtId="0" fontId="35" fillId="0" borderId="34" xfId="55" applyNumberFormat="1" applyBorder="1" applyAlignment="1" applyProtection="1">
      <alignment vertical="center"/>
    </xf>
    <xf numFmtId="0" fontId="35" fillId="0" borderId="35" xfId="55" applyNumberFormat="1" applyBorder="1" applyAlignment="1" applyProtection="1">
      <alignment horizontal="right" vertical="center"/>
    </xf>
    <xf numFmtId="170" fontId="34" fillId="37" borderId="30" xfId="52" applyNumberFormat="1" applyFont="1" applyFill="1" applyBorder="1" applyAlignment="1" applyProtection="1">
      <alignment vertical="center"/>
    </xf>
    <xf numFmtId="168" fontId="24" fillId="0" borderId="37" xfId="52" applyNumberFormat="1" applyFont="1" applyBorder="1" applyAlignment="1" applyProtection="1">
      <alignment horizontal="right" vertical="center"/>
    </xf>
    <xf numFmtId="0" fontId="24" fillId="0" borderId="39" xfId="52" applyNumberFormat="1" applyFont="1" applyBorder="1" applyAlignment="1" applyProtection="1">
      <alignment vertical="center"/>
    </xf>
    <xf numFmtId="168" fontId="24" fillId="0" borderId="40" xfId="52" applyNumberFormat="1" applyFont="1" applyBorder="1" applyAlignment="1" applyProtection="1">
      <alignment horizontal="right" vertical="center"/>
    </xf>
    <xf numFmtId="168" fontId="24" fillId="0" borderId="41" xfId="52" applyNumberFormat="1" applyFont="1" applyBorder="1" applyAlignment="1" applyProtection="1">
      <alignment horizontal="right" vertical="center"/>
    </xf>
    <xf numFmtId="0" fontId="24" fillId="0" borderId="42" xfId="52" applyNumberFormat="1" applyFont="1" applyBorder="1" applyAlignment="1" applyProtection="1">
      <alignment vertical="center"/>
    </xf>
    <xf numFmtId="168" fontId="24" fillId="0" borderId="43" xfId="52" applyNumberFormat="1" applyFont="1" applyBorder="1" applyAlignment="1" applyProtection="1">
      <alignment horizontal="right" vertical="center"/>
    </xf>
    <xf numFmtId="168" fontId="24" fillId="0" borderId="44" xfId="52" applyNumberFormat="1" applyFont="1" applyBorder="1" applyAlignment="1" applyProtection="1">
      <alignment horizontal="right" vertical="center"/>
    </xf>
    <xf numFmtId="168" fontId="36" fillId="35" borderId="45" xfId="52" applyNumberFormat="1" applyFont="1" applyFill="1" applyBorder="1" applyAlignment="1" applyProtection="1">
      <alignment vertical="center"/>
    </xf>
    <xf numFmtId="168" fontId="36" fillId="35" borderId="47" xfId="52" applyNumberFormat="1" applyFont="1" applyFill="1" applyBorder="1" applyAlignment="1" applyProtection="1">
      <alignment vertical="center"/>
    </xf>
    <xf numFmtId="0" fontId="24" fillId="0" borderId="0" xfId="52" applyNumberFormat="1" applyProtection="1">
      <alignment vertical="center"/>
    </xf>
    <xf numFmtId="0" fontId="24" fillId="0" borderId="0" xfId="52" applyNumberFormat="1" applyAlignment="1" applyProtection="1">
      <alignment horizontal="right"/>
    </xf>
    <xf numFmtId="0" fontId="33" fillId="37" borderId="48" xfId="0" applyNumberFormat="1" applyFont="1" applyFill="1" applyBorder="1" applyAlignment="1" applyProtection="1">
      <alignment horizontal="centerContinuous" vertical="center"/>
    </xf>
    <xf numFmtId="0" fontId="33" fillId="37" borderId="49" xfId="0" applyNumberFormat="1" applyFont="1" applyFill="1" applyBorder="1" applyAlignment="1" applyProtection="1">
      <alignment horizontal="centerContinuous" vertical="center"/>
    </xf>
    <xf numFmtId="0" fontId="34" fillId="37" borderId="50" xfId="52" applyNumberFormat="1" applyFont="1" applyFill="1" applyBorder="1" applyAlignment="1" applyProtection="1">
      <alignment vertical="center"/>
    </xf>
    <xf numFmtId="0" fontId="35" fillId="0" borderId="51" xfId="55" applyNumberFormat="1" applyBorder="1" applyAlignment="1" applyProtection="1">
      <alignment horizontal="right" vertical="center"/>
    </xf>
    <xf numFmtId="0" fontId="35" fillId="0" borderId="52" xfId="55" applyNumberFormat="1" applyBorder="1" applyAlignment="1" applyProtection="1">
      <alignment horizontal="right" vertical="center"/>
    </xf>
    <xf numFmtId="168" fontId="24" fillId="0" borderId="38" xfId="52" applyNumberFormat="1" applyFont="1" applyBorder="1" applyAlignment="1" applyProtection="1">
      <alignment horizontal="right" vertical="center"/>
    </xf>
    <xf numFmtId="168" fontId="36" fillId="35" borderId="53" xfId="52" applyNumberFormat="1" applyFont="1" applyFill="1" applyBorder="1" applyAlignment="1" applyProtection="1">
      <alignment vertical="center"/>
    </xf>
    <xf numFmtId="0" fontId="34" fillId="37" borderId="50" xfId="52" applyFont="1" applyFill="1" applyBorder="1" applyAlignment="1" applyProtection="1">
      <alignment vertical="center"/>
    </xf>
    <xf numFmtId="168" fontId="24" fillId="0" borderId="55" xfId="52" applyNumberFormat="1" applyFont="1" applyBorder="1" applyAlignment="1" applyProtection="1">
      <alignment horizontal="right" vertical="center"/>
    </xf>
    <xf numFmtId="0" fontId="24" fillId="0" borderId="56" xfId="52" applyNumberFormat="1" applyFont="1" applyBorder="1" applyAlignment="1" applyProtection="1">
      <alignment vertical="center"/>
    </xf>
    <xf numFmtId="168" fontId="24" fillId="0" borderId="57" xfId="52" applyNumberFormat="1" applyFont="1" applyBorder="1" applyAlignment="1" applyProtection="1">
      <alignment horizontal="right" vertical="center"/>
    </xf>
    <xf numFmtId="0" fontId="24" fillId="0" borderId="58" xfId="52" applyNumberFormat="1" applyFont="1" applyBorder="1" applyAlignment="1" applyProtection="1">
      <alignment vertical="center"/>
    </xf>
    <xf numFmtId="168" fontId="24" fillId="0" borderId="59" xfId="52" applyNumberFormat="1" applyFont="1" applyBorder="1" applyAlignment="1" applyProtection="1">
      <alignment horizontal="right" vertical="center"/>
    </xf>
    <xf numFmtId="0" fontId="33" fillId="37" borderId="60" xfId="0" applyNumberFormat="1" applyFont="1" applyFill="1" applyBorder="1" applyAlignment="1" applyProtection="1">
      <alignment horizontal="centerContinuous" vertical="center"/>
    </xf>
    <xf numFmtId="0" fontId="33" fillId="37" borderId="61" xfId="0" applyNumberFormat="1" applyFont="1" applyFill="1" applyBorder="1" applyAlignment="1" applyProtection="1">
      <alignment horizontal="centerContinuous" vertical="center"/>
    </xf>
    <xf numFmtId="0" fontId="34" fillId="0" borderId="0" xfId="52" applyFont="1" applyProtection="1">
      <alignment vertical="center"/>
    </xf>
    <xf numFmtId="0" fontId="34" fillId="0" borderId="0" xfId="52" applyFont="1" applyAlignment="1" applyProtection="1">
      <alignment horizontal="right"/>
    </xf>
    <xf numFmtId="0" fontId="15" fillId="33" borderId="0" xfId="0" applyFont="1" applyFill="1" applyProtection="1">
      <alignment horizontal="left" wrapText="1"/>
    </xf>
    <xf numFmtId="168" fontId="23" fillId="33" borderId="0" xfId="4" applyFont="1" applyFill="1" applyProtection="1">
      <alignment horizontal="right"/>
    </xf>
    <xf numFmtId="0" fontId="40" fillId="0" borderId="9" xfId="52" applyFont="1" applyBorder="1" applyProtection="1">
      <alignment vertical="center"/>
    </xf>
    <xf numFmtId="0" fontId="40" fillId="0" borderId="78" xfId="52" applyFont="1" applyBorder="1" applyProtection="1">
      <alignment vertical="center"/>
    </xf>
    <xf numFmtId="0" fontId="49" fillId="32" borderId="7" xfId="0" applyFont="1" applyFill="1" applyBorder="1" applyAlignment="1" applyProtection="1">
      <alignment horizontal="right" vertical="center" wrapText="1"/>
    </xf>
    <xf numFmtId="0" fontId="40" fillId="39" borderId="9" xfId="52" applyFont="1" applyFill="1" applyBorder="1" applyProtection="1">
      <alignment vertical="center"/>
    </xf>
    <xf numFmtId="168" fontId="22" fillId="0" borderId="84" xfId="4" applyNumberFormat="1" applyFont="1" applyBorder="1" applyAlignment="1" applyProtection="1">
      <alignment horizontal="center" vertical="center"/>
      <protection locked="0"/>
    </xf>
    <xf numFmtId="0" fontId="22" fillId="0" borderId="84" xfId="0" applyFont="1" applyBorder="1" applyAlignment="1" applyProtection="1">
      <alignment horizontal="center" vertical="center" wrapText="1"/>
    </xf>
    <xf numFmtId="0" fontId="45" fillId="0" borderId="0" xfId="0" applyFont="1" applyAlignment="1" applyProtection="1">
      <alignment horizontal="left" vertical="center" wrapText="1"/>
    </xf>
    <xf numFmtId="14" fontId="23" fillId="0" borderId="0" xfId="8" applyNumberFormat="1" applyFont="1" applyBorder="1" applyAlignment="1" applyProtection="1">
      <alignment horizontal="left" vertical="center"/>
    </xf>
    <xf numFmtId="14" fontId="23" fillId="0" borderId="0" xfId="8" applyFont="1" applyFill="1" applyBorder="1" applyAlignment="1" applyProtection="1">
      <alignment horizontal="left" vertical="center" indent="3"/>
    </xf>
    <xf numFmtId="168" fontId="23" fillId="0" borderId="0" xfId="4" applyNumberFormat="1" applyFont="1" applyFill="1" applyBorder="1" applyProtection="1">
      <alignment horizontal="right"/>
    </xf>
    <xf numFmtId="1" fontId="23" fillId="33" borderId="68" xfId="4" applyNumberFormat="1" applyFont="1" applyFill="1" applyBorder="1" applyAlignment="1" applyProtection="1">
      <alignment horizontal="right" vertical="center"/>
    </xf>
    <xf numFmtId="168" fontId="48" fillId="33" borderId="0" xfId="4" applyFont="1" applyFill="1" applyProtection="1">
      <alignment horizontal="right"/>
    </xf>
    <xf numFmtId="0" fontId="21" fillId="33" borderId="0" xfId="0" applyFont="1" applyFill="1" applyAlignment="1" applyProtection="1">
      <alignment horizontal="left"/>
    </xf>
    <xf numFmtId="2" fontId="23" fillId="0" borderId="0" xfId="4" applyNumberFormat="1" applyFont="1" applyFill="1" applyBorder="1" applyProtection="1">
      <alignment horizontal="right"/>
    </xf>
    <xf numFmtId="0" fontId="46" fillId="0" borderId="9" xfId="0" applyFont="1" applyBorder="1" applyAlignment="1" applyProtection="1">
      <alignment horizontal="left" wrapText="1"/>
    </xf>
    <xf numFmtId="0" fontId="23" fillId="0" borderId="9" xfId="0" applyFont="1" applyBorder="1" applyAlignment="1" applyProtection="1">
      <alignment horizontal="right" wrapText="1"/>
    </xf>
    <xf numFmtId="168" fontId="23" fillId="0" borderId="0" xfId="4" applyFont="1" applyFill="1" applyBorder="1" applyAlignment="1" applyProtection="1">
      <alignment horizontal="right"/>
    </xf>
    <xf numFmtId="14" fontId="23" fillId="0" borderId="0" xfId="8"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3" fillId="0" borderId="0" xfId="0" applyFont="1" applyAlignment="1" applyProtection="1">
      <alignment horizontal="left"/>
    </xf>
    <xf numFmtId="0" fontId="37" fillId="0" borderId="0" xfId="13" applyFont="1" applyBorder="1" applyAlignment="1" applyProtection="1">
      <alignment horizontal="right" wrapText="1"/>
    </xf>
    <xf numFmtId="0" fontId="37" fillId="0" borderId="0" xfId="13" applyFont="1" applyBorder="1" applyAlignment="1" applyProtection="1">
      <alignment horizontal="left" wrapText="1"/>
      <protection locked="0"/>
    </xf>
    <xf numFmtId="1" fontId="52" fillId="33" borderId="68" xfId="4" applyNumberFormat="1" applyFont="1" applyFill="1" applyBorder="1" applyAlignment="1" applyProtection="1">
      <alignment horizontal="center" vertical="center"/>
    </xf>
    <xf numFmtId="171" fontId="43" fillId="33" borderId="68" xfId="4" applyNumberFormat="1" applyFont="1" applyFill="1" applyBorder="1" applyAlignment="1" applyProtection="1">
      <alignment horizontal="center" vertical="center"/>
    </xf>
    <xf numFmtId="0" fontId="28" fillId="0" borderId="0" xfId="53" applyAlignment="1" applyProtection="1">
      <alignment horizontal="left"/>
    </xf>
    <xf numFmtId="0" fontId="31" fillId="36" borderId="17" xfId="52" applyFont="1" applyFill="1" applyBorder="1" applyAlignment="1" applyProtection="1">
      <alignment horizontal="center" vertical="center"/>
    </xf>
    <xf numFmtId="0" fontId="31" fillId="36" borderId="18" xfId="52" applyFont="1" applyFill="1" applyBorder="1" applyAlignment="1" applyProtection="1">
      <alignment horizontal="center" vertical="center"/>
    </xf>
    <xf numFmtId="0" fontId="31" fillId="36" borderId="19" xfId="52" applyFont="1" applyFill="1" applyBorder="1" applyAlignment="1" applyProtection="1">
      <alignment horizontal="center" vertical="center"/>
    </xf>
    <xf numFmtId="0" fontId="31" fillId="36" borderId="20" xfId="52" applyFont="1" applyFill="1" applyBorder="1" applyAlignment="1" applyProtection="1">
      <alignment horizontal="center" vertical="center"/>
    </xf>
    <xf numFmtId="0" fontId="31" fillId="36" borderId="21" xfId="52" applyFont="1" applyFill="1" applyBorder="1" applyAlignment="1" applyProtection="1">
      <alignment horizontal="center" vertical="center"/>
    </xf>
    <xf numFmtId="0" fontId="31" fillId="36" borderId="22" xfId="52" applyFont="1" applyFill="1" applyBorder="1" applyAlignment="1" applyProtection="1">
      <alignment horizontal="center" vertical="center"/>
    </xf>
    <xf numFmtId="0" fontId="31" fillId="36" borderId="23" xfId="52" applyFont="1" applyFill="1" applyBorder="1" applyAlignment="1" applyProtection="1">
      <alignment horizontal="center" vertical="center"/>
    </xf>
    <xf numFmtId="168" fontId="43" fillId="33" borderId="68" xfId="4" applyFont="1" applyFill="1" applyBorder="1" applyAlignment="1" applyProtection="1">
      <alignment horizontal="center" vertical="center"/>
    </xf>
    <xf numFmtId="14" fontId="0" fillId="0" borderId="0" xfId="0" applyNumberFormat="1">
      <alignment horizontal="left" wrapText="1"/>
    </xf>
    <xf numFmtId="0" fontId="43" fillId="0" borderId="0" xfId="13" applyFont="1" applyBorder="1" applyAlignment="1" applyProtection="1">
      <alignment horizontal="center" wrapText="1"/>
      <protection locked="0"/>
    </xf>
    <xf numFmtId="0" fontId="24" fillId="0" borderId="0" xfId="52" applyAlignment="1" applyProtection="1">
      <alignment horizontal="right"/>
    </xf>
    <xf numFmtId="170" fontId="30" fillId="35" borderId="13" xfId="52" applyNumberFormat="1" applyFont="1" applyFill="1" applyBorder="1" applyAlignment="1" applyProtection="1">
      <alignment vertical="center"/>
    </xf>
    <xf numFmtId="170" fontId="30" fillId="33" borderId="14" xfId="52" applyNumberFormat="1" applyFont="1" applyFill="1" applyBorder="1" applyAlignment="1" applyProtection="1">
      <alignment vertical="center"/>
    </xf>
    <xf numFmtId="168" fontId="50" fillId="0" borderId="0" xfId="4" applyFont="1" applyProtection="1">
      <alignment horizontal="right"/>
    </xf>
    <xf numFmtId="0" fontId="24" fillId="0" borderId="36" xfId="52" applyNumberFormat="1" applyFont="1" applyBorder="1" applyAlignment="1" applyProtection="1">
      <alignment vertical="center"/>
    </xf>
    <xf numFmtId="170" fontId="30" fillId="33" borderId="0" xfId="52" applyNumberFormat="1" applyFont="1" applyFill="1" applyBorder="1" applyAlignment="1" applyProtection="1">
      <alignment horizontal="right" vertical="center"/>
    </xf>
    <xf numFmtId="0" fontId="40" fillId="0" borderId="0" xfId="52" applyFont="1" applyBorder="1" applyProtection="1">
      <alignment vertical="center"/>
    </xf>
    <xf numFmtId="0" fontId="24" fillId="0" borderId="54" xfId="52" applyNumberFormat="1" applyFont="1" applyBorder="1" applyAlignment="1" applyProtection="1">
      <alignment vertical="center"/>
    </xf>
    <xf numFmtId="0" fontId="40" fillId="39" borderId="78" xfId="52" applyFont="1" applyFill="1" applyBorder="1" applyAlignment="1" applyProtection="1">
      <alignment vertical="center"/>
    </xf>
    <xf numFmtId="0" fontId="40" fillId="39" borderId="9" xfId="52" applyFont="1" applyFill="1" applyBorder="1" applyAlignment="1" applyProtection="1">
      <alignment vertical="center"/>
    </xf>
    <xf numFmtId="173" fontId="15" fillId="33" borderId="0" xfId="0" applyNumberFormat="1" applyFont="1" applyFill="1" applyProtection="1">
      <alignment horizontal="left" wrapText="1"/>
    </xf>
    <xf numFmtId="14" fontId="15" fillId="33" borderId="0" xfId="0" applyNumberFormat="1" applyFont="1" applyFill="1" applyProtection="1">
      <alignment horizontal="left" wrapText="1"/>
    </xf>
    <xf numFmtId="10" fontId="0" fillId="33" borderId="0" xfId="17" applyNumberFormat="1" applyFont="1" applyFill="1" applyAlignment="1" applyProtection="1">
      <alignment horizontal="left" wrapText="1"/>
    </xf>
    <xf numFmtId="172" fontId="23" fillId="33" borderId="0" xfId="0" applyNumberFormat="1" applyFont="1" applyFill="1" applyProtection="1">
      <alignment horizontal="left" wrapText="1"/>
    </xf>
    <xf numFmtId="0" fontId="17" fillId="0" borderId="0" xfId="0" applyFont="1" applyProtection="1">
      <alignment horizontal="left" wrapText="1"/>
    </xf>
    <xf numFmtId="0" fontId="0" fillId="37" borderId="84" xfId="0" applyFill="1" applyBorder="1">
      <alignment horizontal="left" wrapText="1"/>
    </xf>
    <xf numFmtId="0" fontId="0" fillId="40" borderId="84" xfId="0" applyFill="1" applyBorder="1" applyAlignment="1">
      <alignment horizontal="center" wrapText="1"/>
    </xf>
    <xf numFmtId="0" fontId="0" fillId="39" borderId="84" xfId="0" applyFill="1" applyBorder="1" applyAlignment="1">
      <alignment horizontal="center" wrapText="1"/>
    </xf>
    <xf numFmtId="0" fontId="17" fillId="33" borderId="0" xfId="0" applyFont="1" applyFill="1" applyProtection="1">
      <alignment horizontal="left" wrapText="1"/>
    </xf>
    <xf numFmtId="0" fontId="17" fillId="33" borderId="0" xfId="0" applyFont="1" applyFill="1" applyBorder="1" applyProtection="1">
      <alignment horizontal="left" wrapText="1"/>
    </xf>
    <xf numFmtId="14" fontId="17" fillId="33" borderId="0" xfId="0" applyNumberFormat="1" applyFont="1" applyFill="1" applyBorder="1" applyProtection="1">
      <alignment horizontal="left" wrapText="1"/>
    </xf>
    <xf numFmtId="0" fontId="53" fillId="33" borderId="0" xfId="0" applyFont="1" applyFill="1" applyBorder="1" applyProtection="1">
      <alignment horizontal="left" wrapText="1"/>
    </xf>
    <xf numFmtId="0" fontId="14" fillId="33" borderId="0" xfId="0" applyFont="1" applyFill="1" applyProtection="1">
      <alignment horizontal="left" wrapText="1"/>
    </xf>
    <xf numFmtId="14" fontId="17" fillId="33" borderId="0" xfId="0" applyNumberFormat="1" applyFont="1" applyFill="1" applyProtection="1">
      <alignment horizontal="left" wrapText="1"/>
    </xf>
    <xf numFmtId="0" fontId="22" fillId="0" borderId="87" xfId="0" applyFont="1" applyBorder="1" applyAlignment="1" applyProtection="1">
      <alignment horizontal="center" vertical="center" wrapText="1"/>
    </xf>
    <xf numFmtId="0" fontId="22" fillId="0" borderId="86" xfId="0" applyFont="1" applyBorder="1" applyAlignment="1" applyProtection="1">
      <alignment horizontal="center" vertical="center" wrapText="1"/>
    </xf>
    <xf numFmtId="0" fontId="41" fillId="32" borderId="88" xfId="0" applyFont="1" applyFill="1" applyBorder="1" applyAlignment="1" applyProtection="1">
      <alignment horizontal="center" vertical="center" wrapText="1"/>
    </xf>
    <xf numFmtId="0" fontId="18" fillId="32" borderId="88" xfId="0" applyFont="1" applyFill="1" applyBorder="1" applyAlignment="1" applyProtection="1">
      <alignment horizontal="center" vertical="center" wrapText="1"/>
    </xf>
    <xf numFmtId="0" fontId="0" fillId="0" borderId="0" xfId="0" applyAlignment="1">
      <alignment horizontal="left"/>
    </xf>
    <xf numFmtId="0" fontId="0" fillId="0" borderId="0" xfId="0" applyAlignment="1">
      <alignment horizontal="left" vertical="top" wrapText="1"/>
    </xf>
    <xf numFmtId="0" fontId="0" fillId="0" borderId="90" xfId="0" applyFont="1" applyBorder="1" applyAlignment="1">
      <alignment horizontal="center" vertical="center" wrapText="1"/>
    </xf>
    <xf numFmtId="168" fontId="52" fillId="33" borderId="0" xfId="4" applyFont="1" applyFill="1" applyProtection="1">
      <alignment horizontal="right"/>
    </xf>
    <xf numFmtId="172" fontId="52" fillId="33" borderId="0" xfId="0" applyNumberFormat="1" applyFont="1" applyFill="1" applyAlignment="1" applyProtection="1">
      <alignment horizontal="right" wrapText="1"/>
    </xf>
    <xf numFmtId="0" fontId="52" fillId="33" borderId="0" xfId="0" applyFont="1" applyFill="1" applyProtection="1">
      <alignment horizontal="left" wrapText="1"/>
    </xf>
    <xf numFmtId="10" fontId="7" fillId="33" borderId="0" xfId="17" applyNumberFormat="1" applyFont="1" applyFill="1" applyAlignment="1" applyProtection="1">
      <alignment horizontal="left" wrapText="1"/>
    </xf>
    <xf numFmtId="172" fontId="7" fillId="33" borderId="0" xfId="0" applyNumberFormat="1" applyFont="1" applyFill="1" applyProtection="1">
      <alignment horizontal="left" wrapText="1"/>
    </xf>
    <xf numFmtId="0" fontId="7" fillId="33" borderId="0" xfId="0" applyFont="1" applyFill="1" applyProtection="1">
      <alignment horizontal="left" wrapText="1"/>
    </xf>
    <xf numFmtId="0" fontId="0" fillId="39" borderId="89" xfId="0" applyFill="1" applyBorder="1" applyAlignment="1">
      <alignment horizontal="center" wrapText="1"/>
    </xf>
    <xf numFmtId="0" fontId="0" fillId="41" borderId="96" xfId="0" applyFill="1" applyBorder="1" applyAlignment="1">
      <alignment horizontal="center" wrapText="1"/>
    </xf>
    <xf numFmtId="0" fontId="0" fillId="41" borderId="97" xfId="0" applyFill="1" applyBorder="1" applyAlignment="1">
      <alignment horizontal="center" wrapText="1"/>
    </xf>
    <xf numFmtId="2" fontId="0" fillId="41" borderId="94" xfId="0" applyNumberFormat="1" applyFill="1" applyBorder="1" applyAlignment="1">
      <alignment horizontal="center" wrapText="1"/>
    </xf>
    <xf numFmtId="2" fontId="0" fillId="41" borderId="84" xfId="0" applyNumberFormat="1" applyFill="1" applyBorder="1" applyAlignment="1">
      <alignment horizontal="center" wrapText="1"/>
    </xf>
    <xf numFmtId="2" fontId="0" fillId="41" borderId="95" xfId="0" applyNumberFormat="1" applyFill="1" applyBorder="1" applyAlignment="1">
      <alignment horizontal="center" wrapText="1"/>
    </xf>
    <xf numFmtId="2" fontId="0" fillId="41" borderId="97" xfId="0" applyNumberFormat="1" applyFill="1" applyBorder="1" applyAlignment="1">
      <alignment horizontal="center" wrapText="1"/>
    </xf>
    <xf numFmtId="0" fontId="53" fillId="0" borderId="0" xfId="0" applyFont="1" applyProtection="1">
      <alignment horizontal="left" wrapText="1"/>
    </xf>
    <xf numFmtId="168" fontId="23" fillId="33" borderId="0" xfId="4" applyNumberFormat="1" applyFont="1" applyFill="1" applyProtection="1">
      <alignment horizontal="right"/>
    </xf>
    <xf numFmtId="0" fontId="0" fillId="41" borderId="84" xfId="0" applyFill="1" applyBorder="1" applyAlignment="1">
      <alignment horizontal="center" wrapText="1"/>
    </xf>
    <xf numFmtId="0" fontId="0" fillId="41" borderId="94" xfId="0" applyFill="1" applyBorder="1" applyAlignment="1">
      <alignment horizontal="center" wrapText="1"/>
    </xf>
    <xf numFmtId="2" fontId="0" fillId="41" borderId="98" xfId="0" applyNumberFormat="1" applyFill="1" applyBorder="1" applyAlignment="1">
      <alignment horizontal="center" wrapText="1"/>
    </xf>
    <xf numFmtId="0" fontId="0" fillId="0" borderId="0" xfId="0" applyProtection="1">
      <alignment horizontal="left" wrapText="1"/>
      <protection locked="0"/>
    </xf>
    <xf numFmtId="14" fontId="41" fillId="42" borderId="11" xfId="8" applyNumberFormat="1" applyFont="1" applyFill="1" applyBorder="1" applyAlignment="1" applyProtection="1">
      <alignment horizontal="left" vertical="center"/>
    </xf>
    <xf numFmtId="14" fontId="23" fillId="0" borderId="69" xfId="8" applyNumberFormat="1" applyFont="1" applyBorder="1" applyAlignment="1" applyProtection="1">
      <alignment horizontal="left" vertical="center"/>
    </xf>
    <xf numFmtId="0" fontId="0" fillId="40" borderId="84" xfId="0" applyFill="1" applyBorder="1" applyAlignment="1">
      <alignment horizontal="center" wrapText="1"/>
    </xf>
    <xf numFmtId="0" fontId="17" fillId="0" borderId="0" xfId="0" applyFont="1">
      <alignment horizontal="left" wrapText="1"/>
    </xf>
    <xf numFmtId="168" fontId="0" fillId="0" borderId="0" xfId="4" applyFont="1" applyFill="1" applyBorder="1" applyAlignment="1" applyProtection="1">
      <alignment horizontal="right" vertical="center"/>
      <protection locked="0"/>
    </xf>
    <xf numFmtId="0" fontId="0" fillId="40" borderId="84" xfId="0" applyFill="1" applyBorder="1" applyAlignment="1">
      <alignment horizontal="center" wrapText="1"/>
    </xf>
    <xf numFmtId="0" fontId="0" fillId="39" borderId="84" xfId="0" applyFill="1" applyBorder="1" applyAlignment="1">
      <alignment horizontal="center" wrapText="1"/>
    </xf>
    <xf numFmtId="0" fontId="0" fillId="39" borderId="89" xfId="0" applyFill="1" applyBorder="1" applyAlignment="1">
      <alignment horizontal="center" wrapText="1"/>
    </xf>
    <xf numFmtId="0" fontId="0" fillId="41" borderId="91" xfId="0" applyFill="1" applyBorder="1" applyAlignment="1">
      <alignment horizontal="center" wrapText="1"/>
    </xf>
    <xf numFmtId="0" fontId="0" fillId="41" borderId="92" xfId="0" applyFill="1" applyBorder="1" applyAlignment="1">
      <alignment horizontal="center" wrapText="1"/>
    </xf>
    <xf numFmtId="0" fontId="0" fillId="41" borderId="93" xfId="0" applyFill="1" applyBorder="1" applyAlignment="1">
      <alignment horizontal="center" wrapText="1"/>
    </xf>
    <xf numFmtId="0" fontId="0" fillId="41" borderId="94" xfId="0" applyFill="1" applyBorder="1" applyAlignment="1">
      <alignment horizontal="center" wrapText="1"/>
    </xf>
    <xf numFmtId="0" fontId="0" fillId="41" borderId="84" xfId="0" applyFill="1" applyBorder="1" applyAlignment="1">
      <alignment horizontal="center" wrapText="1"/>
    </xf>
    <xf numFmtId="0" fontId="0" fillId="0" borderId="0" xfId="0" quotePrefix="1" applyAlignment="1">
      <alignment horizontal="left" vertical="top" wrapText="1"/>
    </xf>
    <xf numFmtId="0" fontId="0" fillId="41" borderId="95" xfId="0" applyFill="1" applyBorder="1" applyAlignment="1">
      <alignment horizontal="center" wrapText="1"/>
    </xf>
    <xf numFmtId="0" fontId="43" fillId="0" borderId="85" xfId="13" applyFont="1" applyBorder="1" applyAlignment="1" applyProtection="1">
      <alignment horizontal="left" wrapText="1"/>
      <protection locked="0"/>
    </xf>
    <xf numFmtId="14" fontId="47" fillId="0" borderId="75" xfId="8" applyNumberFormat="1" applyFont="1" applyBorder="1" applyAlignment="1" applyProtection="1">
      <alignment horizontal="left" vertical="center" wrapText="1"/>
    </xf>
    <xf numFmtId="14" fontId="47" fillId="0" borderId="73" xfId="8" applyNumberFormat="1" applyFont="1" applyBorder="1" applyAlignment="1" applyProtection="1">
      <alignment horizontal="left" vertical="center" wrapText="1"/>
    </xf>
    <xf numFmtId="14" fontId="47" fillId="0" borderId="76" xfId="8" applyNumberFormat="1" applyFont="1" applyBorder="1" applyAlignment="1" applyProtection="1">
      <alignment horizontal="left" vertical="center" wrapText="1"/>
    </xf>
    <xf numFmtId="0" fontId="38" fillId="0" borderId="0" xfId="0" applyFont="1" applyAlignment="1" applyProtection="1">
      <alignment horizontal="left" vertical="center" wrapText="1"/>
    </xf>
    <xf numFmtId="0" fontId="45" fillId="0" borderId="0" xfId="0" applyFont="1" applyAlignment="1" applyProtection="1">
      <alignment horizontal="left" vertical="center" wrapText="1"/>
    </xf>
    <xf numFmtId="0" fontId="23" fillId="0" borderId="9" xfId="0" applyFont="1" applyBorder="1" applyAlignment="1" applyProtection="1">
      <alignment horizontal="center" wrapText="1"/>
    </xf>
    <xf numFmtId="0" fontId="37" fillId="0" borderId="25" xfId="13" applyFont="1" applyBorder="1" applyAlignment="1" applyProtection="1">
      <alignment horizontal="left" wrapText="1"/>
      <protection locked="0"/>
    </xf>
    <xf numFmtId="0" fontId="37" fillId="0" borderId="29" xfId="13" applyFont="1" applyBorder="1" applyAlignment="1" applyProtection="1">
      <alignment horizontal="left" wrapText="1"/>
      <protection locked="0"/>
    </xf>
    <xf numFmtId="0" fontId="37" fillId="0" borderId="26" xfId="13" applyFont="1" applyBorder="1" applyAlignment="1" applyProtection="1">
      <alignment horizontal="left" wrapText="1"/>
      <protection locked="0"/>
    </xf>
    <xf numFmtId="174" fontId="37" fillId="0" borderId="25" xfId="13" applyNumberFormat="1" applyFont="1" applyBorder="1" applyAlignment="1" applyProtection="1">
      <alignment horizontal="left" wrapText="1"/>
      <protection locked="0" hidden="1"/>
    </xf>
    <xf numFmtId="174" fontId="37" fillId="0" borderId="29" xfId="13" applyNumberFormat="1" applyFont="1" applyBorder="1" applyAlignment="1" applyProtection="1">
      <alignment horizontal="left" wrapText="1"/>
      <protection locked="0" hidden="1"/>
    </xf>
    <xf numFmtId="174" fontId="37" fillId="0" borderId="26" xfId="13" applyNumberFormat="1" applyFont="1" applyBorder="1" applyAlignment="1" applyProtection="1">
      <alignment horizontal="left" wrapText="1"/>
      <protection locked="0" hidden="1"/>
    </xf>
    <xf numFmtId="14" fontId="23" fillId="0" borderId="11" xfId="8" applyNumberFormat="1" applyFont="1" applyBorder="1" applyAlignment="1" applyProtection="1">
      <alignment horizontal="left" vertical="center"/>
    </xf>
    <xf numFmtId="14" fontId="23" fillId="0" borderId="12" xfId="8" applyNumberFormat="1" applyFont="1" applyBorder="1" applyAlignment="1" applyProtection="1">
      <alignment horizontal="left" vertical="center"/>
    </xf>
    <xf numFmtId="0" fontId="41" fillId="32" borderId="11" xfId="0" applyFont="1" applyFill="1" applyBorder="1" applyAlignment="1" applyProtection="1">
      <alignment horizontal="left" vertical="center" wrapText="1"/>
    </xf>
    <xf numFmtId="0" fontId="41" fillId="32" borderId="12" xfId="0" applyFont="1" applyFill="1" applyBorder="1" applyAlignment="1" applyProtection="1">
      <alignment horizontal="left" vertical="center" wrapText="1"/>
    </xf>
    <xf numFmtId="0" fontId="41" fillId="32" borderId="70" xfId="0" applyFont="1" applyFill="1" applyBorder="1" applyAlignment="1" applyProtection="1">
      <alignment horizontal="left" vertical="center" wrapText="1"/>
    </xf>
    <xf numFmtId="14" fontId="41" fillId="42" borderId="11" xfId="8" applyNumberFormat="1" applyFont="1" applyFill="1" applyBorder="1" applyAlignment="1" applyProtection="1">
      <alignment horizontal="left" vertical="center"/>
    </xf>
    <xf numFmtId="14" fontId="41" fillId="42" borderId="12" xfId="8" applyNumberFormat="1" applyFont="1" applyFill="1" applyBorder="1" applyAlignment="1" applyProtection="1">
      <alignment horizontal="left" vertical="center"/>
    </xf>
    <xf numFmtId="0" fontId="44" fillId="0" borderId="0" xfId="0" applyFont="1" applyAlignment="1" applyProtection="1">
      <alignment horizontal="left" vertical="top" wrapText="1"/>
    </xf>
    <xf numFmtId="0" fontId="46" fillId="0" borderId="77" xfId="0" applyFont="1" applyBorder="1" applyAlignment="1" applyProtection="1">
      <alignment horizontal="left" wrapText="1"/>
    </xf>
    <xf numFmtId="0" fontId="46" fillId="0" borderId="9" xfId="0" applyFont="1" applyBorder="1" applyAlignment="1" applyProtection="1">
      <alignment horizontal="left" wrapText="1"/>
    </xf>
    <xf numFmtId="0" fontId="46" fillId="0" borderId="78" xfId="0" applyFont="1" applyBorder="1" applyAlignment="1" applyProtection="1">
      <alignment horizontal="left" wrapText="1"/>
    </xf>
    <xf numFmtId="0" fontId="23" fillId="0" borderId="9" xfId="0" applyFont="1" applyBorder="1" applyAlignment="1" applyProtection="1">
      <alignment horizontal="left" wrapText="1"/>
    </xf>
    <xf numFmtId="0" fontId="23" fillId="0" borderId="78" xfId="0" applyFont="1" applyBorder="1" applyAlignment="1" applyProtection="1">
      <alignment horizontal="left" wrapText="1"/>
    </xf>
    <xf numFmtId="0" fontId="21" fillId="38" borderId="71" xfId="0" applyFont="1" applyFill="1" applyBorder="1" applyAlignment="1" applyProtection="1">
      <alignment horizontal="center" vertical="center" wrapText="1"/>
    </xf>
    <xf numFmtId="0" fontId="21" fillId="38" borderId="72" xfId="0" applyFont="1" applyFill="1" applyBorder="1" applyAlignment="1" applyProtection="1">
      <alignment horizontal="center" vertical="center" wrapText="1"/>
    </xf>
    <xf numFmtId="9" fontId="23" fillId="33" borderId="71" xfId="17" applyFont="1" applyFill="1" applyBorder="1" applyAlignment="1" applyProtection="1">
      <alignment horizontal="center" wrapText="1"/>
    </xf>
    <xf numFmtId="9" fontId="23" fillId="33" borderId="72" xfId="17" applyFont="1" applyFill="1" applyBorder="1" applyAlignment="1" applyProtection="1">
      <alignment horizontal="center" wrapText="1"/>
    </xf>
    <xf numFmtId="0" fontId="21" fillId="38" borderId="71" xfId="0" applyFont="1" applyFill="1" applyBorder="1" applyAlignment="1" applyProtection="1">
      <alignment horizontal="center" wrapText="1"/>
    </xf>
    <xf numFmtId="0" fontId="21" fillId="38" borderId="72" xfId="0" applyFont="1" applyFill="1" applyBorder="1" applyAlignment="1" applyProtection="1">
      <alignment horizontal="center" wrapText="1"/>
    </xf>
    <xf numFmtId="9" fontId="21" fillId="33" borderId="71" xfId="17" applyFont="1" applyFill="1" applyBorder="1" applyAlignment="1" applyProtection="1">
      <alignment horizontal="center" vertical="center" wrapText="1"/>
    </xf>
    <xf numFmtId="9" fontId="21" fillId="33" borderId="72" xfId="17" applyFont="1" applyFill="1" applyBorder="1" applyAlignment="1" applyProtection="1">
      <alignment horizontal="center" vertical="center" wrapText="1"/>
    </xf>
    <xf numFmtId="0" fontId="21" fillId="33" borderId="0" xfId="0" applyFont="1" applyFill="1" applyAlignment="1" applyProtection="1">
      <alignment horizontal="left" wrapText="1"/>
    </xf>
    <xf numFmtId="0" fontId="37" fillId="0" borderId="25" xfId="13" applyFont="1" applyBorder="1" applyAlignment="1" applyProtection="1">
      <alignment horizontal="left" wrapText="1"/>
    </xf>
    <xf numFmtId="0" fontId="37" fillId="0" borderId="29" xfId="13" applyFont="1" applyBorder="1" applyAlignment="1" applyProtection="1">
      <alignment horizontal="left" wrapText="1"/>
    </xf>
    <xf numFmtId="0" fontId="37" fillId="0" borderId="26" xfId="13" applyFont="1" applyBorder="1" applyAlignment="1" applyProtection="1">
      <alignment horizontal="left" wrapText="1"/>
    </xf>
    <xf numFmtId="174" fontId="37" fillId="0" borderId="25" xfId="13" applyNumberFormat="1" applyFont="1" applyBorder="1" applyAlignment="1" applyProtection="1">
      <alignment horizontal="left" wrapText="1"/>
      <protection hidden="1"/>
    </xf>
    <xf numFmtId="174" fontId="37" fillId="0" borderId="29" xfId="13" applyNumberFormat="1" applyFont="1" applyBorder="1" applyAlignment="1" applyProtection="1">
      <alignment horizontal="left" wrapText="1"/>
      <protection hidden="1"/>
    </xf>
    <xf numFmtId="174" fontId="37" fillId="0" borderId="26" xfId="13" applyNumberFormat="1" applyFont="1" applyBorder="1" applyAlignment="1" applyProtection="1">
      <alignment horizontal="left" wrapText="1"/>
      <protection hidden="1"/>
    </xf>
    <xf numFmtId="0" fontId="21" fillId="33" borderId="0" xfId="0" applyFont="1" applyFill="1" applyAlignment="1" applyProtection="1">
      <alignment horizontal="left" vertical="top" wrapText="1"/>
    </xf>
    <xf numFmtId="168" fontId="22" fillId="0" borderId="89" xfId="4" applyNumberFormat="1" applyFont="1" applyBorder="1" applyAlignment="1" applyProtection="1">
      <alignment horizontal="center" vertical="center"/>
      <protection locked="0"/>
    </xf>
    <xf numFmtId="168" fontId="22" fillId="0" borderId="78" xfId="4" applyNumberFormat="1" applyFont="1" applyBorder="1" applyAlignment="1" applyProtection="1">
      <alignment horizontal="center" vertical="center"/>
      <protection locked="0"/>
    </xf>
    <xf numFmtId="168" fontId="22" fillId="0" borderId="99" xfId="4" applyNumberFormat="1" applyFont="1" applyBorder="1" applyAlignment="1" applyProtection="1">
      <alignment horizontal="center" vertical="center"/>
      <protection locked="0"/>
    </xf>
    <xf numFmtId="0" fontId="50" fillId="0" borderId="0" xfId="52" applyFont="1" applyBorder="1" applyAlignment="1" applyProtection="1">
      <alignment horizontal="center"/>
    </xf>
    <xf numFmtId="170" fontId="51" fillId="35" borderId="0" xfId="52" applyNumberFormat="1" applyFont="1" applyFill="1" applyBorder="1" applyAlignment="1" applyProtection="1">
      <alignment horizontal="right" vertical="center"/>
    </xf>
    <xf numFmtId="170" fontId="51" fillId="35" borderId="79" xfId="52" applyNumberFormat="1" applyFont="1" applyFill="1" applyBorder="1" applyAlignment="1" applyProtection="1">
      <alignment horizontal="right" vertical="center"/>
    </xf>
    <xf numFmtId="0" fontId="26" fillId="34" borderId="0" xfId="52" applyFont="1" applyFill="1" applyAlignment="1" applyProtection="1">
      <alignment horizontal="left" vertical="center"/>
    </xf>
    <xf numFmtId="0" fontId="28" fillId="0" borderId="0" xfId="53" applyAlignment="1" applyProtection="1">
      <alignment horizontal="left"/>
    </xf>
    <xf numFmtId="0" fontId="29" fillId="0" borderId="0" xfId="54" applyAlignment="1" applyProtection="1">
      <alignment horizontal="right"/>
    </xf>
    <xf numFmtId="170" fontId="30" fillId="35" borderId="13" xfId="52" applyNumberFormat="1" applyFont="1" applyFill="1" applyBorder="1" applyAlignment="1" applyProtection="1">
      <alignment horizontal="right" vertical="center"/>
    </xf>
    <xf numFmtId="170" fontId="30" fillId="35" borderId="14" xfId="52" applyNumberFormat="1" applyFont="1" applyFill="1" applyBorder="1" applyAlignment="1" applyProtection="1">
      <alignment horizontal="right" vertical="center"/>
    </xf>
    <xf numFmtId="170" fontId="30" fillId="35" borderId="15" xfId="52" applyNumberFormat="1" applyFont="1" applyFill="1" applyBorder="1" applyAlignment="1" applyProtection="1">
      <alignment horizontal="right" vertical="center"/>
    </xf>
    <xf numFmtId="0" fontId="27" fillId="0" borderId="0" xfId="52" applyFont="1" applyBorder="1" applyAlignment="1" applyProtection="1">
      <alignment horizontal="center"/>
    </xf>
    <xf numFmtId="0" fontId="31" fillId="36" borderId="16" xfId="52" applyFont="1" applyFill="1" applyBorder="1" applyAlignment="1" applyProtection="1">
      <alignment horizontal="center" vertical="center"/>
    </xf>
    <xf numFmtId="0" fontId="31" fillId="36" borderId="17" xfId="52" applyFont="1" applyFill="1" applyBorder="1" applyAlignment="1" applyProtection="1">
      <alignment horizontal="center" vertical="center"/>
    </xf>
    <xf numFmtId="0" fontId="31" fillId="36" borderId="18" xfId="52" applyFont="1" applyFill="1" applyBorder="1" applyAlignment="1" applyProtection="1">
      <alignment horizontal="center" vertical="center"/>
    </xf>
    <xf numFmtId="0" fontId="31" fillId="36" borderId="19" xfId="52" applyFont="1" applyFill="1" applyBorder="1" applyAlignment="1" applyProtection="1">
      <alignment horizontal="center" vertical="center"/>
    </xf>
    <xf numFmtId="0" fontId="31" fillId="36" borderId="20" xfId="52" applyFont="1" applyFill="1" applyBorder="1" applyAlignment="1" applyProtection="1">
      <alignment horizontal="center" vertical="center"/>
    </xf>
    <xf numFmtId="0" fontId="31" fillId="36" borderId="21" xfId="52" applyFont="1" applyFill="1" applyBorder="1" applyAlignment="1" applyProtection="1">
      <alignment horizontal="center" vertical="center"/>
    </xf>
    <xf numFmtId="0" fontId="31" fillId="36" borderId="22" xfId="52" applyFont="1" applyFill="1" applyBorder="1" applyAlignment="1" applyProtection="1">
      <alignment horizontal="center" vertical="center"/>
    </xf>
    <xf numFmtId="0" fontId="31" fillId="36" borderId="23" xfId="52" applyFont="1" applyFill="1" applyBorder="1" applyAlignment="1" applyProtection="1">
      <alignment horizontal="center" vertical="center"/>
    </xf>
    <xf numFmtId="0" fontId="27" fillId="0" borderId="64" xfId="52" applyFont="1" applyBorder="1" applyAlignment="1" applyProtection="1">
      <alignment horizontal="center"/>
    </xf>
    <xf numFmtId="0" fontId="27" fillId="0" borderId="64" xfId="52" applyFont="1" applyBorder="1" applyAlignment="1" applyProtection="1">
      <alignment horizontal="center" vertical="center"/>
    </xf>
    <xf numFmtId="0" fontId="25" fillId="34" borderId="0" xfId="52" applyFont="1" applyFill="1" applyAlignment="1" applyProtection="1">
      <alignment horizontal="left" vertical="center"/>
    </xf>
    <xf numFmtId="0" fontId="31" fillId="36" borderId="62" xfId="52" applyFont="1" applyFill="1" applyBorder="1" applyAlignment="1" applyProtection="1">
      <alignment horizontal="center" vertical="center"/>
    </xf>
    <xf numFmtId="0" fontId="31" fillId="36" borderId="63" xfId="52" applyFont="1" applyFill="1" applyBorder="1" applyAlignment="1" applyProtection="1">
      <alignment horizontal="center" vertical="center"/>
    </xf>
    <xf numFmtId="0" fontId="31" fillId="36" borderId="67" xfId="52" applyFont="1" applyFill="1" applyBorder="1" applyAlignment="1" applyProtection="1">
      <alignment horizontal="center" vertical="center"/>
    </xf>
    <xf numFmtId="0" fontId="31" fillId="36" borderId="66" xfId="52" applyFont="1" applyFill="1" applyBorder="1" applyAlignment="1" applyProtection="1">
      <alignment horizontal="center" vertical="center"/>
    </xf>
    <xf numFmtId="0" fontId="31" fillId="36" borderId="65" xfId="52" applyFont="1" applyFill="1" applyBorder="1" applyAlignment="1" applyProtection="1">
      <alignment horizontal="center" vertical="center"/>
    </xf>
    <xf numFmtId="170" fontId="30" fillId="35" borderId="80" xfId="52" applyNumberFormat="1" applyFont="1" applyFill="1" applyBorder="1" applyAlignment="1" applyProtection="1">
      <alignment horizontal="right" vertical="center"/>
    </xf>
    <xf numFmtId="170" fontId="30" fillId="35" borderId="81" xfId="52" applyNumberFormat="1" applyFont="1" applyFill="1" applyBorder="1" applyAlignment="1" applyProtection="1">
      <alignment horizontal="right" vertical="center"/>
    </xf>
    <xf numFmtId="170" fontId="30" fillId="35" borderId="83" xfId="52" applyNumberFormat="1" applyFont="1" applyFill="1" applyBorder="1" applyAlignment="1" applyProtection="1">
      <alignment horizontal="right" vertical="center"/>
    </xf>
    <xf numFmtId="170" fontId="30" fillId="35" borderId="82" xfId="52" applyNumberFormat="1" applyFont="1" applyFill="1" applyBorder="1" applyAlignment="1" applyProtection="1">
      <alignment horizontal="right" vertical="center"/>
    </xf>
  </cellXfs>
  <cellStyles count="56">
    <cellStyle name="20 % - Farve1" xfId="29" builtinId="30" customBuiltin="1"/>
    <cellStyle name="20 % - Farve2" xfId="33" builtinId="34" customBuiltin="1"/>
    <cellStyle name="20 % - Farve3" xfId="37" builtinId="38" customBuiltin="1"/>
    <cellStyle name="20 % - Farve4" xfId="41" builtinId="42" customBuiltin="1"/>
    <cellStyle name="20 % - Farve5" xfId="45" builtinId="46" customBuiltin="1"/>
    <cellStyle name="20 % - Farve6" xfId="49" builtinId="50" customBuiltin="1"/>
    <cellStyle name="40 % - Farve1" xfId="30" builtinId="31" customBuiltin="1"/>
    <cellStyle name="40 % - Farve2" xfId="34" builtinId="35" customBuiltin="1"/>
    <cellStyle name="40 % - Farve3" xfId="38" builtinId="39" customBuiltin="1"/>
    <cellStyle name="40 % - Farve4" xfId="42" builtinId="43" customBuiltin="1"/>
    <cellStyle name="40 % - Farve5" xfId="46" builtinId="47" customBuiltin="1"/>
    <cellStyle name="40 % - Farve6" xfId="50" builtinId="51" customBuiltin="1"/>
    <cellStyle name="60 % - Farve1" xfId="31" builtinId="32" customBuiltin="1"/>
    <cellStyle name="60 % - Farve2" xfId="35" builtinId="36" customBuiltin="1"/>
    <cellStyle name="60 % - Farve3" xfId="39" builtinId="40" customBuiltin="1"/>
    <cellStyle name="60 % - Farve4" xfId="43" builtinId="44" customBuiltin="1"/>
    <cellStyle name="60 % - Farve5" xfId="47" builtinId="48" customBuiltin="1"/>
    <cellStyle name="60 % - Farve6" xfId="51" builtinId="52" customBuiltin="1"/>
    <cellStyle name="Advarselstekst" xfId="25" builtinId="11" customBuiltin="1"/>
    <cellStyle name="Amount" xfId="12" xr:uid="{00000000-0005-0000-0000-000000000000}"/>
    <cellStyle name="Bemærk!" xfId="26" builtinId="10" customBuiltin="1"/>
    <cellStyle name="Beregning" xfId="22" builtinId="22" customBuiltin="1"/>
    <cellStyle name="Besøgt link" xfId="11" builtinId="9" customBuiltin="1"/>
    <cellStyle name="Date" xfId="8" xr:uid="{00000000-0005-0000-0000-000003000000}"/>
    <cellStyle name="Farve1" xfId="28" builtinId="29" customBuiltin="1"/>
    <cellStyle name="Farve2" xfId="32" builtinId="33" customBuiltin="1"/>
    <cellStyle name="Farve3" xfId="36" builtinId="37" customBuiltin="1"/>
    <cellStyle name="Farve4" xfId="40" builtinId="41" customBuiltin="1"/>
    <cellStyle name="Farve5" xfId="44" builtinId="45" customBuiltin="1"/>
    <cellStyle name="Farve6" xfId="48" builtinId="49" customBuiltin="1"/>
    <cellStyle name="Forklarende tekst" xfId="27" builtinId="53" customBuiltin="1"/>
    <cellStyle name="God" xfId="18" builtinId="26" customBuiltin="1"/>
    <cellStyle name="Input" xfId="13" builtinId="20" customBuiltin="1"/>
    <cellStyle name="Komma" xfId="15" builtinId="3" customBuiltin="1"/>
    <cellStyle name="Komma [0]" xfId="16" builtinId="6" customBuiltin="1"/>
    <cellStyle name="Kontrollér celle" xfId="24" builtinId="23" customBuiltin="1"/>
    <cellStyle name="Link" xfId="10" builtinId="8" customBuiltin="1"/>
    <cellStyle name="Neutral" xfId="20" builtinId="28" customBuiltin="1"/>
    <cellStyle name="Normal" xfId="0" builtinId="0" customBuiltin="1"/>
    <cellStyle name="Normal 2" xfId="52" xr:uid="{6AACF574-7E47-4EFA-9BC8-923A78E4EA45}"/>
    <cellStyle name="Output" xfId="21" builtinId="21" customBuiltin="1"/>
    <cellStyle name="Overskrift 1" xfId="1" builtinId="16" customBuiltin="1"/>
    <cellStyle name="Overskrift 1 2" xfId="53" xr:uid="{DF34A964-561F-4E7A-A636-88646B8B909B}"/>
    <cellStyle name="Overskrift 2" xfId="2" builtinId="17" customBuiltin="1"/>
    <cellStyle name="Overskrift 2 2" xfId="54" xr:uid="{8BE3D22A-DC01-4C80-A2BB-2A6306B65704}"/>
    <cellStyle name="Overskrift 3" xfId="3" builtinId="18" customBuiltin="1"/>
    <cellStyle name="Overskrift 3 2" xfId="55" xr:uid="{E84BAEB5-9989-4FE7-9162-D211C4A89523}"/>
    <cellStyle name="Overskrift 4" xfId="7" builtinId="19" customBuiltin="1"/>
    <cellStyle name="Phone" xfId="9" xr:uid="{00000000-0005-0000-0000-00000C000000}"/>
    <cellStyle name="Procent" xfId="17" builtinId="5" customBuiltin="1"/>
    <cellStyle name="Sammenkædet celle" xfId="23" builtinId="24" customBuiltin="1"/>
    <cellStyle name="Titel" xfId="6" builtinId="15" customBuiltin="1"/>
    <cellStyle name="Total" xfId="14" builtinId="25" customBuiltin="1"/>
    <cellStyle name="Ugyldig" xfId="19" builtinId="27" customBuiltin="1"/>
    <cellStyle name="Valuta" xfId="4" builtinId="4" customBuiltin="1"/>
    <cellStyle name="Valuta [0]" xfId="5" builtinId="7" customBuiltin="1"/>
  </cellStyles>
  <dxfs count="1333">
    <dxf>
      <font>
        <b val="0"/>
        <i val="0"/>
        <strike val="0"/>
        <condense val="0"/>
        <extend val="0"/>
        <outline val="0"/>
        <shadow val="0"/>
        <u val="none"/>
        <vertAlign val="baseline"/>
        <sz val="16"/>
        <color theme="1"/>
        <name val="Calibri"/>
        <family val="2"/>
        <scheme val="minor"/>
      </font>
      <numFmt numFmtId="168" formatCode="&quot;kr.&quot;\ #,##0.00"/>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6"/>
        <color theme="1"/>
        <name val="Calibri"/>
        <family val="2"/>
        <scheme val="minor"/>
      </font>
      <fill>
        <patternFill patternType="none">
          <fgColor indexed="64"/>
          <bgColor indexed="65"/>
        </patternFill>
      </fill>
      <alignment horizontal="right" vertical="bottom"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6"/>
        <color theme="1"/>
        <name val="Calibri"/>
        <family val="2"/>
        <scheme val="minor"/>
      </font>
      <fill>
        <patternFill patternType="none">
          <fgColor indexed="64"/>
          <bgColor indexed="65"/>
        </patternFill>
      </fill>
      <border diagonalUp="0" diagonalDown="0" outline="0">
        <left/>
        <right/>
        <top/>
        <bottom/>
      </border>
      <protection locked="1" hidden="0"/>
    </dxf>
    <dxf>
      <font>
        <b val="0"/>
        <i val="0"/>
        <strike val="0"/>
        <condense val="0"/>
        <extend val="0"/>
        <outline val="0"/>
        <shadow val="0"/>
        <u val="none"/>
        <vertAlign val="baseline"/>
        <sz val="16"/>
        <color theme="1"/>
        <name val="Calibri"/>
        <family val="2"/>
        <scheme val="minor"/>
      </font>
      <fill>
        <patternFill patternType="none">
          <fgColor indexed="64"/>
          <bgColor indexed="65"/>
        </patternFill>
      </fill>
      <border diagonalUp="0" diagonalDown="0" outline="0">
        <left/>
        <right/>
        <top/>
        <bottom/>
      </border>
      <protection locked="1" hidden="0"/>
    </dxf>
    <dxf>
      <font>
        <b val="0"/>
        <i val="0"/>
        <strike val="0"/>
        <condense val="0"/>
        <extend val="0"/>
        <outline val="0"/>
        <shadow val="0"/>
        <u val="none"/>
        <vertAlign val="baseline"/>
        <sz val="16"/>
        <color theme="1"/>
        <name val="Calibri"/>
        <family val="2"/>
        <scheme val="minor"/>
      </font>
      <fill>
        <patternFill patternType="none">
          <fgColor indexed="64"/>
          <bgColor indexed="65"/>
        </patternFill>
      </fill>
      <border diagonalUp="0" diagonalDown="0" outline="0">
        <left/>
        <right/>
        <top/>
        <bottom/>
      </border>
      <protection locked="1" hidden="0"/>
    </dxf>
    <dxf>
      <font>
        <b val="0"/>
        <i val="0"/>
        <strike val="0"/>
        <condense val="0"/>
        <extend val="0"/>
        <outline val="0"/>
        <shadow val="0"/>
        <u val="none"/>
        <vertAlign val="baseline"/>
        <sz val="16"/>
        <color theme="1"/>
        <name val="Calibri"/>
        <family val="2"/>
        <scheme val="minor"/>
      </font>
      <fill>
        <patternFill patternType="none">
          <fgColor indexed="64"/>
          <bgColor indexed="65"/>
        </patternFill>
      </fill>
      <border diagonalUp="0" diagonalDown="0" outline="0">
        <left/>
        <right/>
        <top/>
        <bottom/>
      </border>
      <protection locked="1" hidden="0"/>
    </dxf>
    <dxf>
      <font>
        <b val="0"/>
        <i val="0"/>
        <strike val="0"/>
        <condense val="0"/>
        <extend val="0"/>
        <outline val="0"/>
        <shadow val="0"/>
        <u val="none"/>
        <vertAlign val="baseline"/>
        <sz val="16"/>
        <color theme="1"/>
        <name val="Calibri"/>
        <family val="2"/>
        <scheme val="minor"/>
      </font>
      <fill>
        <patternFill patternType="none">
          <fgColor indexed="64"/>
          <bgColor indexed="65"/>
        </patternFill>
      </fill>
      <border diagonalUp="0" diagonalDown="0" outline="0">
        <left/>
        <right/>
        <top/>
        <bottom/>
      </border>
      <protection locked="1" hidden="0"/>
    </dxf>
    <dxf>
      <font>
        <strike val="0"/>
        <outline val="0"/>
        <shadow val="0"/>
        <u val="none"/>
        <vertAlign val="baseline"/>
        <sz val="16"/>
      </font>
      <alignment horizontal="right" vertical="center" textRotation="0" wrapText="0" indent="0" justifyLastLine="0" shrinkToFit="0" readingOrder="0"/>
      <protection locked="1" hidden="0"/>
    </dxf>
    <dxf>
      <font>
        <strike val="0"/>
        <outline val="0"/>
        <shadow val="0"/>
        <u val="none"/>
        <vertAlign val="baseline"/>
        <sz val="16"/>
      </font>
      <numFmt numFmtId="168" formatCode="&quot;kr.&quot;\ #,##0.00"/>
      <protection locked="1" hidden="0"/>
    </dxf>
    <dxf>
      <font>
        <strike val="0"/>
        <outline val="0"/>
        <shadow val="0"/>
        <u val="none"/>
        <vertAlign val="baseline"/>
        <sz val="16"/>
      </font>
      <protection locked="1" hidden="0"/>
    </dxf>
    <dxf>
      <font>
        <strike val="0"/>
        <outline val="0"/>
        <shadow val="0"/>
        <u val="none"/>
        <vertAlign val="baseline"/>
        <sz val="16"/>
      </font>
      <protection locked="1" hidden="0"/>
    </dxf>
    <dxf>
      <font>
        <strike val="0"/>
        <outline val="0"/>
        <shadow val="0"/>
        <u val="none"/>
        <vertAlign val="baseline"/>
        <sz val="16"/>
      </font>
      <protection locked="1" hidden="0"/>
    </dxf>
    <dxf>
      <font>
        <strike val="0"/>
        <outline val="0"/>
        <shadow val="0"/>
        <u val="none"/>
        <vertAlign val="baseline"/>
        <sz val="16"/>
      </font>
      <protection locked="1" hidden="0"/>
    </dxf>
    <dxf>
      <font>
        <strike val="0"/>
        <outline val="0"/>
        <shadow val="0"/>
        <u val="none"/>
        <vertAlign val="baseline"/>
        <sz val="16"/>
      </font>
      <protection locked="1" hidden="0"/>
    </dxf>
    <dxf>
      <font>
        <b val="0"/>
        <i val="0"/>
        <strike val="0"/>
        <condense val="0"/>
        <extend val="0"/>
        <outline val="0"/>
        <shadow val="0"/>
        <u val="none"/>
        <vertAlign val="baseline"/>
        <sz val="16"/>
        <color theme="1"/>
        <name val="Calibri"/>
        <family val="2"/>
        <scheme val="minor"/>
      </font>
      <numFmt numFmtId="168" formatCode="&quot;kr.&quot;\ #,##0.00"/>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6"/>
        <color theme="1"/>
        <name val="Calibri"/>
        <family val="2"/>
        <scheme val="minor"/>
      </font>
      <fill>
        <patternFill patternType="none">
          <fgColor indexed="64"/>
          <bgColor indexed="65"/>
        </patternFill>
      </fill>
      <alignment horizontal="right" vertical="bottom"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6"/>
        <color theme="1"/>
        <name val="Calibri"/>
        <family val="2"/>
        <scheme val="minor"/>
      </font>
      <fill>
        <patternFill patternType="none">
          <fgColor indexed="64"/>
          <bgColor indexed="65"/>
        </patternFill>
      </fill>
      <border diagonalUp="0" diagonalDown="0" outline="0">
        <left/>
        <right/>
        <top/>
        <bottom/>
      </border>
      <protection locked="1" hidden="0"/>
    </dxf>
    <dxf>
      <font>
        <b val="0"/>
        <i val="0"/>
        <strike val="0"/>
        <condense val="0"/>
        <extend val="0"/>
        <outline val="0"/>
        <shadow val="0"/>
        <u val="none"/>
        <vertAlign val="baseline"/>
        <sz val="16"/>
        <color theme="1"/>
        <name val="Calibri"/>
        <family val="2"/>
        <scheme val="minor"/>
      </font>
      <fill>
        <patternFill patternType="none">
          <fgColor indexed="64"/>
          <bgColor indexed="65"/>
        </patternFill>
      </fill>
      <border diagonalUp="0" diagonalDown="0" outline="0">
        <left/>
        <right/>
        <top/>
        <bottom/>
      </border>
      <protection locked="1" hidden="0"/>
    </dxf>
    <dxf>
      <font>
        <b val="0"/>
        <i val="0"/>
        <strike val="0"/>
        <condense val="0"/>
        <extend val="0"/>
        <outline val="0"/>
        <shadow val="0"/>
        <u val="none"/>
        <vertAlign val="baseline"/>
        <sz val="16"/>
        <color theme="1"/>
        <name val="Calibri"/>
        <family val="2"/>
        <scheme val="minor"/>
      </font>
      <fill>
        <patternFill patternType="none">
          <fgColor indexed="64"/>
          <bgColor indexed="65"/>
        </patternFill>
      </fill>
      <border diagonalUp="0" diagonalDown="0" outline="0">
        <left/>
        <right/>
        <top/>
        <bottom/>
      </border>
      <protection locked="1" hidden="0"/>
    </dxf>
    <dxf>
      <font>
        <b val="0"/>
        <i val="0"/>
        <strike val="0"/>
        <condense val="0"/>
        <extend val="0"/>
        <outline val="0"/>
        <shadow val="0"/>
        <u val="none"/>
        <vertAlign val="baseline"/>
        <sz val="16"/>
        <color theme="1"/>
        <name val="Calibri"/>
        <family val="2"/>
        <scheme val="minor"/>
      </font>
      <fill>
        <patternFill patternType="none">
          <fgColor indexed="64"/>
          <bgColor indexed="65"/>
        </patternFill>
      </fill>
      <border diagonalUp="0" diagonalDown="0" outline="0">
        <left/>
        <right/>
        <top/>
        <bottom/>
      </border>
      <protection locked="1" hidden="0"/>
    </dxf>
    <dxf>
      <font>
        <b val="0"/>
        <i val="0"/>
        <strike val="0"/>
        <condense val="0"/>
        <extend val="0"/>
        <outline val="0"/>
        <shadow val="0"/>
        <u val="none"/>
        <vertAlign val="baseline"/>
        <sz val="16"/>
        <color theme="1"/>
        <name val="Calibri"/>
        <family val="2"/>
        <scheme val="minor"/>
      </font>
      <fill>
        <patternFill patternType="none">
          <fgColor indexed="64"/>
          <bgColor indexed="65"/>
        </patternFill>
      </fill>
      <border diagonalUp="0" diagonalDown="0" outline="0">
        <left/>
        <right/>
        <top/>
        <bottom/>
      </border>
      <protection locked="1" hidden="0"/>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dxf>
    <dxf>
      <font>
        <color theme="0" tint="-0.24994659260841701"/>
      </font>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dxf>
    <dxf>
      <font>
        <color theme="0" tint="-0.24994659260841701"/>
      </font>
    </dxf>
    <dxf>
      <font>
        <color theme="0" tint="-0.24994659260841701"/>
      </font>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font>
      <fill>
        <patternFill>
          <bgColor theme="4" tint="0.79998168889431442"/>
        </patternFill>
      </fill>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font>
      <fill>
        <patternFill>
          <bgColor theme="4" tint="0.79998168889431442"/>
        </patternFill>
      </fill>
    </dxf>
    <dxf>
      <font>
        <color theme="0" tint="-0.24994659260841701"/>
      </font>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dxf>
    <dxf>
      <font>
        <color theme="0" tint="-0.24994659260841701"/>
      </font>
    </dxf>
    <dxf>
      <font>
        <color theme="0" tint="-0.24994659260841701"/>
      </font>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font>
      <fill>
        <patternFill>
          <bgColor theme="4" tint="0.79998168889431442"/>
        </patternFill>
      </fill>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font>
      <fill>
        <patternFill>
          <bgColor theme="4" tint="0.79998168889431442"/>
        </patternFill>
      </fill>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font>
      <fill>
        <patternFill>
          <bgColor theme="4" tint="0.79998168889431442"/>
        </patternFill>
      </fill>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font>
      <fill>
        <patternFill>
          <bgColor theme="4" tint="0.79998168889431442"/>
        </patternFill>
      </fill>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font>
      <fill>
        <patternFill>
          <bgColor theme="4" tint="0.79998168889431442"/>
        </patternFill>
      </fill>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font>
      <fill>
        <patternFill>
          <bgColor theme="4" tint="0.79998168889431442"/>
        </patternFill>
      </fill>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font>
      <fill>
        <patternFill>
          <bgColor theme="4" tint="0.79998168889431442"/>
        </patternFill>
      </fill>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font>
      <fill>
        <patternFill>
          <bgColor theme="4" tint="0.79998168889431442"/>
        </patternFill>
      </fill>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font>
      <fill>
        <patternFill>
          <bgColor theme="4" tint="0.79998168889431442"/>
        </patternFill>
      </fill>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font>
      <fill>
        <patternFill>
          <bgColor theme="4" tint="0.79998168889431442"/>
        </patternFill>
      </fill>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font>
      <fill>
        <patternFill>
          <bgColor theme="4" tint="0.79998168889431442"/>
        </patternFill>
      </fill>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font>
      <fill>
        <patternFill>
          <bgColor theme="4" tint="0.79998168889431442"/>
        </patternFill>
      </fill>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font>
      <fill>
        <patternFill>
          <bgColor theme="4" tint="0.79998168889431442"/>
        </patternFill>
      </fill>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border>
        <vertical/>
        <horizontal/>
      </border>
    </dxf>
    <dxf>
      <font>
        <color theme="0"/>
      </font>
      <fill>
        <patternFill>
          <bgColor theme="4" tint="0.79998168889431442"/>
        </patternFill>
      </fill>
      <border>
        <vertical/>
        <horizontal/>
      </border>
    </dxf>
    <dxf>
      <font>
        <color theme="0"/>
      </font>
      <fill>
        <patternFill>
          <bgColor theme="4" tint="0.79998168889431442"/>
        </patternFill>
      </fill>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font>
      <fill>
        <patternFill>
          <bgColor theme="4" tint="0.79998168889431442"/>
        </patternFill>
      </fill>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font>
      <fill>
        <patternFill>
          <bgColor theme="4" tint="0.79998168889431442"/>
        </patternFill>
      </fill>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font>
      <fill>
        <patternFill>
          <bgColor theme="4" tint="0.79998168889431442"/>
        </patternFill>
      </fill>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font>
      <fill>
        <patternFill>
          <bgColor theme="4" tint="0.79998168889431442"/>
        </patternFill>
      </fill>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font>
      <fill>
        <patternFill>
          <bgColor theme="4" tint="0.79998168889431442"/>
        </patternFill>
      </fill>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font>
      <fill>
        <patternFill>
          <bgColor theme="4" tint="0.79998168889431442"/>
        </patternFill>
      </fill>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font>
      <fill>
        <patternFill>
          <bgColor theme="4" tint="0.79998168889431442"/>
        </patternFill>
      </fill>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font>
      <fill>
        <patternFill>
          <bgColor theme="4" tint="0.79998168889431442"/>
        </patternFill>
      </fill>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font>
      <fill>
        <patternFill>
          <bgColor theme="4" tint="0.79998168889431442"/>
        </patternFill>
      </fill>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font>
      <fill>
        <patternFill>
          <bgColor theme="4" tint="0.79998168889431442"/>
        </patternFill>
      </fill>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font>
      <fill>
        <patternFill>
          <bgColor theme="4" tint="0.79998168889431442"/>
        </patternFill>
      </fill>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font>
      <fill>
        <patternFill>
          <bgColor theme="4" tint="0.79998168889431442"/>
        </patternFill>
      </fill>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font>
      <fill>
        <patternFill>
          <bgColor theme="4" tint="0.79998168889431442"/>
        </patternFill>
      </fill>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font>
      <fill>
        <patternFill>
          <bgColor theme="4" tint="0.79998168889431442"/>
        </patternFill>
      </fill>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font>
      <fill>
        <patternFill>
          <bgColor theme="4" tint="0.79998168889431442"/>
        </patternFill>
      </fill>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font>
      <fill>
        <patternFill>
          <bgColor theme="4" tint="0.79998168889431442"/>
        </patternFill>
      </fill>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font>
      <fill>
        <patternFill>
          <bgColor theme="4" tint="0.79998168889431442"/>
        </patternFill>
      </fill>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font>
      <fill>
        <patternFill>
          <bgColor theme="4" tint="0.79998168889431442"/>
        </patternFill>
      </fill>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font>
      <fill>
        <patternFill>
          <bgColor theme="4" tint="0.79998168889431442"/>
        </patternFill>
      </fill>
    </dxf>
    <dxf>
      <font>
        <color theme="0"/>
      </font>
      <fill>
        <patternFill>
          <bgColor theme="4" tint="0.79998168889431442"/>
        </patternFill>
      </fill>
      <border>
        <vertical/>
        <horizontal/>
      </border>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font>
      <fill>
        <patternFill>
          <bgColor theme="4" tint="0.79998168889431442"/>
        </patternFill>
      </fill>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dxf>
    <dxf>
      <font>
        <color theme="0" tint="-0.24994659260841701"/>
      </font>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dxf>
    <dxf>
      <font>
        <color theme="0" tint="-0.24994659260841701"/>
      </font>
    </dxf>
    <dxf>
      <font>
        <color theme="0" tint="-0.24994659260841701"/>
      </font>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font>
      <fill>
        <patternFill>
          <bgColor theme="4" tint="0.79998168889431442"/>
        </patternFill>
      </fill>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font>
      <fill>
        <patternFill>
          <bgColor theme="4" tint="0.79998168889431442"/>
        </patternFill>
      </fill>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font>
      <fill>
        <patternFill>
          <bgColor theme="4" tint="0.79998168889431442"/>
        </patternFill>
      </fill>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font>
      <fill>
        <patternFill>
          <bgColor theme="4" tint="0.79998168889431442"/>
        </patternFill>
      </fill>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font>
      <fill>
        <patternFill>
          <bgColor theme="4" tint="0.79998168889431442"/>
        </patternFill>
      </fill>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font>
      <fill>
        <patternFill>
          <bgColor theme="4" tint="0.79998168889431442"/>
        </patternFill>
      </fill>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font>
      <fill>
        <patternFill>
          <bgColor theme="4" tint="0.79998168889431442"/>
        </patternFill>
      </fill>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font>
      <fill>
        <patternFill>
          <bgColor theme="4" tint="0.79998168889431442"/>
        </patternFill>
      </fill>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font>
      <fill>
        <patternFill>
          <bgColor theme="4" tint="0.79998168889431442"/>
        </patternFill>
      </fill>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font>
      <fill>
        <patternFill>
          <bgColor theme="4" tint="0.79998168889431442"/>
        </patternFill>
      </fill>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font>
      <fill>
        <patternFill>
          <bgColor theme="4" tint="0.79998168889431442"/>
        </patternFill>
      </fill>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font>
      <fill>
        <patternFill>
          <bgColor theme="4" tint="0.79998168889431442"/>
        </patternFill>
      </fill>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font>
      <fill>
        <patternFill>
          <bgColor theme="4" tint="0.79998168889431442"/>
        </patternFill>
      </fill>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font>
      <fill>
        <patternFill>
          <bgColor theme="4" tint="0.79998168889431442"/>
        </patternFill>
      </fill>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border>
        <vertical/>
        <horizontal/>
      </border>
    </dxf>
    <dxf>
      <font>
        <color theme="0"/>
      </font>
      <fill>
        <patternFill>
          <bgColor theme="4" tint="0.79998168889431442"/>
        </patternFill>
      </fill>
      <border>
        <vertical/>
        <horizontal/>
      </border>
    </dxf>
    <dxf>
      <font>
        <color theme="0"/>
      </font>
      <fill>
        <patternFill>
          <bgColor theme="4" tint="0.79998168889431442"/>
        </patternFill>
      </fill>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font>
      <fill>
        <patternFill>
          <bgColor theme="4" tint="0.79998168889431442"/>
        </patternFill>
      </fill>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font>
      <fill>
        <patternFill>
          <bgColor theme="4" tint="0.79998168889431442"/>
        </patternFill>
      </fill>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font>
      <fill>
        <patternFill>
          <bgColor theme="4" tint="0.79998168889431442"/>
        </patternFill>
      </fill>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font>
      <fill>
        <patternFill>
          <bgColor theme="4" tint="0.79998168889431442"/>
        </patternFill>
      </fill>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font>
      <fill>
        <patternFill>
          <bgColor theme="4" tint="0.79998168889431442"/>
        </patternFill>
      </fill>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font>
      <fill>
        <patternFill>
          <bgColor theme="4" tint="0.79998168889431442"/>
        </patternFill>
      </fill>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font>
      <fill>
        <patternFill>
          <bgColor theme="4" tint="0.79998168889431442"/>
        </patternFill>
      </fill>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font>
      <fill>
        <patternFill>
          <bgColor theme="4" tint="0.79998168889431442"/>
        </patternFill>
      </fill>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font>
      <fill>
        <patternFill>
          <bgColor theme="4" tint="0.79998168889431442"/>
        </patternFill>
      </fill>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font>
      <fill>
        <patternFill>
          <bgColor theme="4" tint="0.79998168889431442"/>
        </patternFill>
      </fill>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font>
      <fill>
        <patternFill>
          <bgColor theme="4" tint="0.79998168889431442"/>
        </patternFill>
      </fill>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font>
      <fill>
        <patternFill>
          <bgColor theme="4" tint="0.79998168889431442"/>
        </patternFill>
      </fill>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font>
      <fill>
        <patternFill>
          <bgColor theme="4" tint="0.79998168889431442"/>
        </patternFill>
      </fill>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font>
      <fill>
        <patternFill>
          <bgColor theme="4" tint="0.79998168889431442"/>
        </patternFill>
      </fill>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font>
      <fill>
        <patternFill>
          <bgColor theme="4" tint="0.79998168889431442"/>
        </patternFill>
      </fill>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font>
      <fill>
        <patternFill>
          <bgColor theme="4" tint="0.79998168889431442"/>
        </patternFill>
      </fill>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font>
      <fill>
        <patternFill>
          <bgColor theme="4" tint="0.79998168889431442"/>
        </patternFill>
      </fill>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font>
      <fill>
        <patternFill>
          <bgColor theme="4" tint="0.79998168889431442"/>
        </patternFill>
      </fill>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font>
      <fill>
        <patternFill>
          <bgColor theme="4" tint="0.79998168889431442"/>
        </patternFill>
      </fill>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font>
      <fill>
        <patternFill>
          <bgColor theme="4" tint="0.79998168889431442"/>
        </patternFill>
      </fill>
    </dxf>
    <dxf>
      <font>
        <color theme="0" tint="-0.24994659260841701"/>
      </font>
    </dxf>
    <dxf>
      <font>
        <color theme="0" tint="-0.24994659260841701"/>
      </font>
      <border>
        <vertical/>
        <horizontal/>
      </border>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dxf>
    <dxf>
      <font>
        <color theme="0" tint="-0.24994659260841701"/>
      </font>
      <border>
        <vertical/>
        <horizontal/>
      </border>
    </dxf>
    <dxf>
      <font>
        <color theme="0" tint="-0.24994659260841701"/>
      </font>
      <border>
        <vertical/>
        <horizontal/>
      </border>
    </dxf>
    <dxf>
      <font>
        <color theme="0" tint="-0.24994659260841701"/>
      </font>
      <border>
        <vertical/>
        <horizontal/>
      </border>
    </dxf>
    <dxf>
      <font>
        <color theme="0"/>
      </font>
      <fill>
        <patternFill>
          <bgColor theme="4" tint="0.79998168889431442"/>
        </patternFill>
      </fill>
    </dxf>
    <dxf>
      <font>
        <color theme="0" tint="-0.24994659260841701"/>
      </font>
    </dxf>
    <dxf>
      <font>
        <color theme="0"/>
      </font>
      <fill>
        <patternFill>
          <bgColor theme="4" tint="0.79998168889431442"/>
        </patternFill>
      </fill>
      <border>
        <vertical/>
        <horizontal/>
      </border>
    </dxf>
    <dxf>
      <font>
        <color theme="0" tint="-0.24994659260841701"/>
      </font>
      <border>
        <vertical/>
        <horizontal/>
      </border>
    </dxf>
    <dxf>
      <font>
        <color theme="0" tint="-0.24994659260841701"/>
      </font>
    </dxf>
    <dxf>
      <font>
        <color theme="0" tint="-0.24994659260841701"/>
      </font>
    </dxf>
    <dxf>
      <font>
        <color theme="0" tint="-0.24994659260841701"/>
      </font>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rgb="FF77A3A5"/>
      </font>
    </dxf>
    <dxf>
      <font>
        <color rgb="FF77A3A5"/>
      </font>
    </dxf>
    <dxf>
      <font>
        <color rgb="FF77A3A5"/>
      </font>
    </dxf>
    <dxf>
      <font>
        <color rgb="FF77A3A5"/>
      </font>
    </dxf>
    <dxf>
      <font>
        <color rgb="FF77A3A5"/>
      </font>
    </dxf>
    <dxf>
      <font>
        <color rgb="FF77A3A5"/>
      </font>
    </dxf>
    <dxf>
      <font>
        <color rgb="FF77A3A5"/>
      </font>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rgb="FF77A3A5"/>
      </font>
    </dxf>
    <dxf>
      <font>
        <color rgb="FF77A3A5"/>
      </font>
    </dxf>
    <dxf>
      <font>
        <color rgb="FF77A3A5"/>
      </font>
    </dxf>
    <dxf>
      <font>
        <color rgb="FF77A3A5"/>
      </font>
    </dxf>
    <dxf>
      <font>
        <color rgb="FF77A3A5"/>
      </font>
    </dxf>
    <dxf>
      <font>
        <color rgb="FF77A3A5"/>
      </font>
    </dxf>
    <dxf>
      <font>
        <color rgb="FF77A3A5"/>
      </font>
    </dxf>
    <dxf>
      <font>
        <color rgb="FF77A3A5"/>
      </font>
    </dxf>
    <dxf>
      <font>
        <strike val="0"/>
        <outline val="0"/>
        <shadow val="0"/>
        <u val="none"/>
        <vertAlign val="baseline"/>
        <sz val="16"/>
      </font>
      <protection locked="1" hidden="0"/>
    </dxf>
    <dxf>
      <font>
        <strike val="0"/>
        <outline val="0"/>
        <shadow val="0"/>
        <u val="none"/>
        <vertAlign val="baseline"/>
        <sz val="16"/>
      </font>
      <protection locked="1" hidden="0"/>
    </dxf>
    <dxf>
      <font>
        <strike val="0"/>
        <outline val="0"/>
        <shadow val="0"/>
        <u val="none"/>
        <vertAlign val="baseline"/>
        <sz val="16"/>
      </font>
      <protection locked="1" hidden="0"/>
    </dxf>
    <dxf>
      <font>
        <strike val="0"/>
        <outline val="0"/>
        <shadow val="0"/>
        <u val="none"/>
        <vertAlign val="baseline"/>
        <sz val="16"/>
      </font>
      <numFmt numFmtId="168" formatCode="&quot;kr.&quot;\ #,##0.00"/>
      <alignment horizontal="right" vertical="center" textRotation="0" wrapText="0" indent="0" justifyLastLine="0" shrinkToFit="0" readingOrder="0"/>
      <protection locked="1" hidden="0"/>
    </dxf>
    <dxf>
      <font>
        <strike val="0"/>
        <outline val="0"/>
        <shadow val="0"/>
        <u val="none"/>
        <vertAlign val="baseline"/>
        <sz val="16"/>
      </font>
      <protection locked="1" hidden="0"/>
    </dxf>
    <dxf>
      <font>
        <strike val="0"/>
        <outline val="0"/>
        <shadow val="0"/>
        <u val="none"/>
        <vertAlign val="baseline"/>
        <sz val="16"/>
      </font>
      <protection locked="1" hidden="0"/>
    </dxf>
    <dxf>
      <font>
        <strike val="0"/>
        <outline val="0"/>
        <shadow val="0"/>
        <u val="none"/>
        <vertAlign val="baseline"/>
        <sz val="16"/>
      </font>
      <protection locked="1" hidden="0"/>
    </dxf>
    <dxf>
      <font>
        <strike val="0"/>
        <outline val="0"/>
        <shadow val="0"/>
        <u val="none"/>
        <vertAlign val="baseline"/>
        <sz val="16"/>
      </font>
      <protection locked="1" hidden="0"/>
    </dxf>
    <dxf>
      <font>
        <strike val="0"/>
        <outline val="0"/>
        <shadow val="0"/>
        <u val="none"/>
        <vertAlign val="baseline"/>
        <sz val="16"/>
      </font>
      <protection locked="1" hidden="0"/>
    </dxf>
    <dxf>
      <font>
        <strike val="0"/>
        <outline val="0"/>
        <shadow val="0"/>
        <u val="none"/>
        <vertAlign val="baseline"/>
        <sz val="16"/>
      </font>
      <protection locked="1" hidden="0"/>
    </dxf>
    <dxf>
      <font>
        <strike val="0"/>
        <outline val="0"/>
        <shadow val="0"/>
        <u val="none"/>
        <vertAlign val="baseline"/>
        <sz val="16"/>
      </font>
      <protection locked="1" hidden="0"/>
    </dxf>
    <dxf>
      <font>
        <strike val="0"/>
        <outline val="0"/>
        <shadow val="0"/>
        <u val="none"/>
        <vertAlign val="baseline"/>
        <sz val="16"/>
      </font>
      <protection locked="1" hidden="0"/>
    </dxf>
    <dxf>
      <font>
        <strike val="0"/>
        <outline val="0"/>
        <shadow val="0"/>
        <u val="none"/>
        <vertAlign val="baseline"/>
        <sz val="16"/>
      </font>
      <protection locked="1" hidden="0"/>
    </dxf>
    <dxf>
      <font>
        <color rgb="FF77A3A5"/>
      </font>
    </dxf>
    <dxf>
      <font>
        <color rgb="FF77A3A5"/>
      </font>
    </dxf>
    <dxf>
      <font>
        <color rgb="FF77A3A5"/>
      </font>
    </dxf>
    <dxf>
      <font>
        <color rgb="FF77A3A5"/>
      </font>
    </dxf>
    <dxf>
      <font>
        <color rgb="FF77A3A5"/>
      </font>
    </dxf>
    <dxf>
      <font>
        <color rgb="FF77A3A5"/>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right style="thin">
          <color theme="6" tint="0.39997558519241921"/>
        </right>
        <top style="thin">
          <color theme="6" tint="0.39997558519241921"/>
        </top>
        <bottom style="thin">
          <color theme="6" tint="0.39997558519241921"/>
        </bottom>
      </border>
    </dxf>
    <dxf>
      <alignment horizontal="left" vertical="top" textRotation="0" wrapText="1" indent="0" justifyLastLine="0" shrinkToFit="0" readingOrder="0"/>
    </dxf>
    <dxf>
      <fill>
        <patternFill patternType="solid">
          <fgColor theme="6" tint="0.79998168889431442"/>
          <bgColor theme="6" tint="0.79998168889431442"/>
        </patternFill>
      </fill>
    </dxf>
    <dxf>
      <fill>
        <patternFill patternType="solid">
          <fgColor theme="6" tint="0.79998168889431442"/>
          <bgColor theme="6" tint="0.79998168889431442"/>
        </patternFill>
      </fill>
    </dxf>
    <dxf>
      <font>
        <b/>
        <color theme="1"/>
      </font>
    </dxf>
    <dxf>
      <font>
        <b/>
        <color theme="1"/>
      </font>
    </dxf>
    <dxf>
      <font>
        <b/>
        <color theme="1"/>
      </font>
      <border>
        <top style="double">
          <color theme="6"/>
        </top>
      </border>
    </dxf>
    <dxf>
      <font>
        <b/>
        <color theme="0"/>
      </font>
      <fill>
        <patternFill patternType="solid">
          <fgColor theme="6"/>
          <bgColor theme="6" tint="-0.24994659260841701"/>
        </patternFill>
      </fill>
    </dxf>
    <dxf>
      <font>
        <color theme="1"/>
      </font>
      <border>
        <left style="thin">
          <color theme="6" tint="0.39997558519241921"/>
        </left>
        <right style="thin">
          <color theme="6" tint="0.39997558519241921"/>
        </right>
        <top style="thin">
          <color theme="6" tint="0.39997558519241921"/>
        </top>
        <bottom style="thin">
          <color theme="6" tint="0.39997558519241921"/>
        </bottom>
        <horizontal style="thin">
          <color theme="6" tint="0.39997558519241921"/>
        </horizontal>
      </border>
    </dxf>
  </dxfs>
  <tableStyles count="1" defaultTableStyle="Billing Statement" defaultPivotStyle="PivotStyleLight16">
    <tableStyle name="Billing Statement" pivot="0" count="7" xr9:uid="{00000000-0011-0000-FFFF-FFFF00000000}">
      <tableStyleElement type="wholeTable" dxfId="1332"/>
      <tableStyleElement type="headerRow" dxfId="1331"/>
      <tableStyleElement type="totalRow" dxfId="1330"/>
      <tableStyleElement type="firstColumn" dxfId="1329"/>
      <tableStyleElement type="lastColumn" dxfId="1328"/>
      <tableStyleElement type="firstRowStripe" dxfId="1327"/>
      <tableStyleElement type="firstColumnStripe" dxfId="1326"/>
    </tableStyle>
  </tableStyles>
  <colors>
    <mruColors>
      <color rgb="FF77A3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Tilmeldingsoversigt!A1"/></Relationships>
</file>

<file path=xl/drawings/_rels/drawing2.xml.rels><?xml version="1.0" encoding="UTF-8" standalone="yes"?>
<Relationships xmlns="http://schemas.openxmlformats.org/package/2006/relationships"><Relationship Id="rId1" Type="http://schemas.openxmlformats.org/officeDocument/2006/relationships/hyperlink" Target="#Betalingsopg&#248;relse!A1"/></Relationships>
</file>

<file path=xl/drawings/_rels/drawing3.xml.rels><?xml version="1.0" encoding="UTF-8" standalone="yes"?>
<Relationships xmlns="http://schemas.openxmlformats.org/package/2006/relationships"><Relationship Id="rId3" Type="http://schemas.openxmlformats.org/officeDocument/2006/relationships/hyperlink" Target="#'Til- og framelding'!A2"/><Relationship Id="rId2" Type="http://schemas.openxmlformats.org/officeDocument/2006/relationships/hyperlink" Target="#'Til- og framelding'!A1"/><Relationship Id="rId1" Type="http://schemas.openxmlformats.org/officeDocument/2006/relationships/hyperlink" Target="#'Til- og framelding'!A62"/></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668867</xdr:colOff>
      <xdr:row>1</xdr:row>
      <xdr:rowOff>370417</xdr:rowOff>
    </xdr:from>
    <xdr:to>
      <xdr:col>11</xdr:col>
      <xdr:colOff>94192</xdr:colOff>
      <xdr:row>3</xdr:row>
      <xdr:rowOff>42333</xdr:rowOff>
    </xdr:to>
    <xdr:sp macro="" textlink="">
      <xdr:nvSpPr>
        <xdr:cNvPr id="3" name="Pil: højre 2">
          <a:hlinkClick xmlns:r="http://schemas.openxmlformats.org/officeDocument/2006/relationships" r:id="rId1"/>
          <a:extLst>
            <a:ext uri="{FF2B5EF4-FFF2-40B4-BE49-F238E27FC236}">
              <a16:creationId xmlns:a16="http://schemas.microsoft.com/office/drawing/2014/main" id="{637656BE-A0C6-4512-940F-5F7BFBF06D55}"/>
            </a:ext>
          </a:extLst>
        </xdr:cNvPr>
        <xdr:cNvSpPr/>
      </xdr:nvSpPr>
      <xdr:spPr>
        <a:xfrm>
          <a:off x="9654117" y="867834"/>
          <a:ext cx="1520825" cy="433916"/>
        </a:xfrm>
        <a:prstGeom prst="rightArrow">
          <a:avLst/>
        </a:prstGeom>
        <a:gradFill>
          <a:gsLst>
            <a:gs pos="1000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gradFill>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da-DK" sz="1400"/>
            <a:t>Gå til side 2</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8</xdr:col>
      <xdr:colOff>181694</xdr:colOff>
      <xdr:row>1</xdr:row>
      <xdr:rowOff>182496</xdr:rowOff>
    </xdr:from>
    <xdr:to>
      <xdr:col>12</xdr:col>
      <xdr:colOff>384200</xdr:colOff>
      <xdr:row>2</xdr:row>
      <xdr:rowOff>337777</xdr:rowOff>
    </xdr:to>
    <xdr:sp macro="" textlink="">
      <xdr:nvSpPr>
        <xdr:cNvPr id="4" name="Taleboble: rektangel med afrundede hjørner 3">
          <a:extLst>
            <a:ext uri="{FF2B5EF4-FFF2-40B4-BE49-F238E27FC236}">
              <a16:creationId xmlns:a16="http://schemas.microsoft.com/office/drawing/2014/main" id="{944798DA-F62F-4314-946B-8D0CC5671D69}"/>
            </a:ext>
          </a:extLst>
        </xdr:cNvPr>
        <xdr:cNvSpPr/>
      </xdr:nvSpPr>
      <xdr:spPr>
        <a:xfrm>
          <a:off x="9502587" y="753996"/>
          <a:ext cx="3509042" cy="536281"/>
        </a:xfrm>
        <a:prstGeom prst="wedgeRoundRectCallout">
          <a:avLst>
            <a:gd name="adj1" fmla="val -52350"/>
            <a:gd name="adj2" fmla="val 23682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da-DK" sz="1100"/>
            <a:t>Sæt</a:t>
          </a:r>
          <a:r>
            <a:rPr lang="da-DK" sz="1100" baseline="0"/>
            <a:t> kryds ud fra de måltider der ønskes på ugebasis</a:t>
          </a:r>
          <a:endParaRPr lang="da-DK" sz="1100"/>
        </a:p>
      </xdr:txBody>
    </xdr:sp>
    <xdr:clientData fPrintsWithSheet="0"/>
  </xdr:twoCellAnchor>
  <xdr:twoCellAnchor>
    <xdr:from>
      <xdr:col>2</xdr:col>
      <xdr:colOff>616324</xdr:colOff>
      <xdr:row>11</xdr:row>
      <xdr:rowOff>89646</xdr:rowOff>
    </xdr:from>
    <xdr:to>
      <xdr:col>4</xdr:col>
      <xdr:colOff>773206</xdr:colOff>
      <xdr:row>13</xdr:row>
      <xdr:rowOff>67233</xdr:rowOff>
    </xdr:to>
    <xdr:sp macro="" textlink="">
      <xdr:nvSpPr>
        <xdr:cNvPr id="5" name="Taleboble: rektangel med afrundede hjørner 4">
          <a:extLst>
            <a:ext uri="{FF2B5EF4-FFF2-40B4-BE49-F238E27FC236}">
              <a16:creationId xmlns:a16="http://schemas.microsoft.com/office/drawing/2014/main" id="{9A83C3D4-713E-46D8-BC75-D4C9E641F481}"/>
            </a:ext>
          </a:extLst>
        </xdr:cNvPr>
        <xdr:cNvSpPr/>
      </xdr:nvSpPr>
      <xdr:spPr>
        <a:xfrm>
          <a:off x="2117912" y="5020234"/>
          <a:ext cx="2510118" cy="537881"/>
        </a:xfrm>
        <a:prstGeom prst="wedgeRoundRectCallout">
          <a:avLst>
            <a:gd name="adj1" fmla="val -54315"/>
            <a:gd name="adj2" fmla="val 108334"/>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da-DK" sz="1100"/>
            <a:t>Tækst og beløb kan ændres til de leverede måltider</a:t>
          </a:r>
          <a:r>
            <a:rPr lang="da-DK" sz="1100" baseline="0"/>
            <a:t> og lokale takster.</a:t>
          </a:r>
          <a:endParaRPr lang="da-DK" sz="1100"/>
        </a:p>
      </xdr:txBody>
    </xdr:sp>
    <xdr:clientData fPrintsWithSheet="0"/>
  </xdr:twoCellAnchor>
  <xdr:twoCellAnchor>
    <xdr:from>
      <xdr:col>12</xdr:col>
      <xdr:colOff>112059</xdr:colOff>
      <xdr:row>23</xdr:row>
      <xdr:rowOff>134472</xdr:rowOff>
    </xdr:from>
    <xdr:to>
      <xdr:col>16</xdr:col>
      <xdr:colOff>56029</xdr:colOff>
      <xdr:row>30</xdr:row>
      <xdr:rowOff>268941</xdr:rowOff>
    </xdr:to>
    <xdr:sp macro="" textlink="">
      <xdr:nvSpPr>
        <xdr:cNvPr id="6" name="Taleboble: rektangel med afrundede hjørner 5">
          <a:extLst>
            <a:ext uri="{FF2B5EF4-FFF2-40B4-BE49-F238E27FC236}">
              <a16:creationId xmlns:a16="http://schemas.microsoft.com/office/drawing/2014/main" id="{D6A784E3-7172-4058-825D-ECDCF4D1F41B}"/>
            </a:ext>
          </a:extLst>
        </xdr:cNvPr>
        <xdr:cNvSpPr/>
      </xdr:nvSpPr>
      <xdr:spPr>
        <a:xfrm>
          <a:off x="11710147" y="8382001"/>
          <a:ext cx="2364441" cy="1535205"/>
        </a:xfrm>
        <a:prstGeom prst="wedgeRoundRectCallout">
          <a:avLst>
            <a:gd name="adj1" fmla="val -72522"/>
            <a:gd name="adj2" fmla="val 261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da-DK" sz="1400" b="1"/>
            <a:t>Tabellen</a:t>
          </a:r>
          <a:r>
            <a:rPr lang="da-DK" sz="1400"/>
            <a:t> viser en oversigt over tilmeldte måltider pr. måned samt månedspris</a:t>
          </a:r>
          <a:r>
            <a:rPr lang="da-DK" sz="1400" baseline="0"/>
            <a:t> og tilmeldingsgrad.</a:t>
          </a:r>
        </a:p>
        <a:p>
          <a:pPr algn="l"/>
          <a:r>
            <a:rPr lang="da-DK" sz="1400" b="1" baseline="0"/>
            <a:t>Tabellen</a:t>
          </a:r>
          <a:r>
            <a:rPr lang="da-DK" sz="1400" baseline="0"/>
            <a:t> kan ikke redigeres</a:t>
          </a:r>
          <a:endParaRPr lang="da-DK" sz="1400"/>
        </a:p>
      </xdr:txBody>
    </xdr:sp>
    <xdr:clientData fPrintsWithSheet="0"/>
  </xdr:twoCellAnchor>
  <xdr:twoCellAnchor>
    <xdr:from>
      <xdr:col>12</xdr:col>
      <xdr:colOff>112059</xdr:colOff>
      <xdr:row>37</xdr:row>
      <xdr:rowOff>56030</xdr:rowOff>
    </xdr:from>
    <xdr:to>
      <xdr:col>15</xdr:col>
      <xdr:colOff>661147</xdr:colOff>
      <xdr:row>49</xdr:row>
      <xdr:rowOff>179294</xdr:rowOff>
    </xdr:to>
    <xdr:sp macro="" textlink="">
      <xdr:nvSpPr>
        <xdr:cNvPr id="7" name="Taleboble: rektangel med afrundede hjørner 6">
          <a:extLst>
            <a:ext uri="{FF2B5EF4-FFF2-40B4-BE49-F238E27FC236}">
              <a16:creationId xmlns:a16="http://schemas.microsoft.com/office/drawing/2014/main" id="{5BB6D0DA-2CAA-4601-B229-85A86509DC01}"/>
            </a:ext>
          </a:extLst>
        </xdr:cNvPr>
        <xdr:cNvSpPr/>
      </xdr:nvSpPr>
      <xdr:spPr>
        <a:xfrm>
          <a:off x="12483353" y="11923059"/>
          <a:ext cx="2364441" cy="3485029"/>
        </a:xfrm>
        <a:prstGeom prst="wedgeRoundRectCallout">
          <a:avLst>
            <a:gd name="adj1" fmla="val -72522"/>
            <a:gd name="adj2" fmla="val 2619"/>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da-DK" sz="1400" b="1"/>
            <a:t>Tabellen</a:t>
          </a:r>
          <a:r>
            <a:rPr lang="da-DK" sz="1400"/>
            <a:t> viser en oversigt over til- og frameldte måltider pr. måned udover</a:t>
          </a:r>
          <a:r>
            <a:rPr lang="da-DK" sz="1400" baseline="0"/>
            <a:t> faste tilmeldte måltider. </a:t>
          </a:r>
          <a:r>
            <a:rPr lang="da-DK" sz="1400" b="1"/>
            <a:t>Tabellen</a:t>
          </a:r>
          <a:r>
            <a:rPr lang="da-DK" sz="1400"/>
            <a:t> viser den samlede regulering pr. halvår.</a:t>
          </a:r>
          <a:endParaRPr lang="da-DK" sz="1400" baseline="0"/>
        </a:p>
        <a:p>
          <a:pPr algn="l"/>
          <a:r>
            <a:rPr lang="da-DK" sz="1400" b="1" baseline="0"/>
            <a:t>Tabellen</a:t>
          </a:r>
          <a:r>
            <a:rPr lang="da-DK" sz="1400" baseline="0"/>
            <a:t> kan ikke redigeres</a:t>
          </a:r>
          <a:endParaRPr lang="da-DK" sz="1400"/>
        </a:p>
      </xdr:txBody>
    </xdr:sp>
    <xdr:clientData fPrintsWithSheet="0"/>
  </xdr:twoCellAnchor>
  <xdr:twoCellAnchor>
    <xdr:from>
      <xdr:col>8</xdr:col>
      <xdr:colOff>963706</xdr:colOff>
      <xdr:row>4</xdr:row>
      <xdr:rowOff>134471</xdr:rowOff>
    </xdr:from>
    <xdr:to>
      <xdr:col>10</xdr:col>
      <xdr:colOff>112059</xdr:colOff>
      <xdr:row>4</xdr:row>
      <xdr:rowOff>515471</xdr:rowOff>
    </xdr:to>
    <xdr:sp macro="" textlink="">
      <xdr:nvSpPr>
        <xdr:cNvPr id="10" name="Pil: venstre 9">
          <a:hlinkClick xmlns:r="http://schemas.openxmlformats.org/officeDocument/2006/relationships" r:id="rId1"/>
          <a:extLst>
            <a:ext uri="{FF2B5EF4-FFF2-40B4-BE49-F238E27FC236}">
              <a16:creationId xmlns:a16="http://schemas.microsoft.com/office/drawing/2014/main" id="{98E8387C-2E5A-4601-8C46-A6CB2D261DC7}"/>
            </a:ext>
          </a:extLst>
        </xdr:cNvPr>
        <xdr:cNvSpPr/>
      </xdr:nvSpPr>
      <xdr:spPr>
        <a:xfrm>
          <a:off x="9256059" y="1848971"/>
          <a:ext cx="1524000" cy="381000"/>
        </a:xfrm>
        <a:prstGeom prst="leftArrow">
          <a:avLst/>
        </a:prstGeom>
        <a:gradFill>
          <a:gsLst>
            <a:gs pos="1000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gradFill>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da-DK" sz="1400"/>
            <a:t>Gå til side 1</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17</xdr:col>
      <xdr:colOff>0</xdr:colOff>
      <xdr:row>135</xdr:row>
      <xdr:rowOff>85725</xdr:rowOff>
    </xdr:from>
    <xdr:to>
      <xdr:col>18</xdr:col>
      <xdr:colOff>330112</xdr:colOff>
      <xdr:row>152</xdr:row>
      <xdr:rowOff>66675</xdr:rowOff>
    </xdr:to>
    <xdr:sp macro="" textlink="">
      <xdr:nvSpPr>
        <xdr:cNvPr id="17" name="Pil: opadgående 16">
          <a:hlinkClick xmlns:r="http://schemas.openxmlformats.org/officeDocument/2006/relationships" r:id="rId1"/>
          <a:extLst>
            <a:ext uri="{FF2B5EF4-FFF2-40B4-BE49-F238E27FC236}">
              <a16:creationId xmlns:a16="http://schemas.microsoft.com/office/drawing/2014/main" id="{7F8B497E-32A6-43E9-9A41-7DF066C1E7AC}"/>
            </a:ext>
          </a:extLst>
        </xdr:cNvPr>
        <xdr:cNvSpPr/>
      </xdr:nvSpPr>
      <xdr:spPr>
        <a:xfrm>
          <a:off x="12315825" y="11182350"/>
          <a:ext cx="939712" cy="2447925"/>
        </a:xfrm>
        <a:prstGeom prst="upArrow">
          <a:avLst/>
        </a:prstGeom>
        <a:gradFill>
          <a:gsLst>
            <a:gs pos="1000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gradFill>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da-DK" sz="1400"/>
            <a:t>Til top</a:t>
          </a:r>
        </a:p>
      </xdr:txBody>
    </xdr:sp>
    <xdr:clientData fPrintsWithSheet="0"/>
  </xdr:twoCellAnchor>
  <xdr:twoCellAnchor>
    <xdr:from>
      <xdr:col>16</xdr:col>
      <xdr:colOff>495300</xdr:colOff>
      <xdr:row>194</xdr:row>
      <xdr:rowOff>0</xdr:rowOff>
    </xdr:from>
    <xdr:to>
      <xdr:col>18</xdr:col>
      <xdr:colOff>215812</xdr:colOff>
      <xdr:row>210</xdr:row>
      <xdr:rowOff>142875</xdr:rowOff>
    </xdr:to>
    <xdr:sp macro="" textlink="">
      <xdr:nvSpPr>
        <xdr:cNvPr id="18" name="Pil: opadgående 17">
          <a:hlinkClick xmlns:r="http://schemas.openxmlformats.org/officeDocument/2006/relationships" r:id="rId2"/>
          <a:extLst>
            <a:ext uri="{FF2B5EF4-FFF2-40B4-BE49-F238E27FC236}">
              <a16:creationId xmlns:a16="http://schemas.microsoft.com/office/drawing/2014/main" id="{83633B43-B9B1-4264-A46C-48D0E27BD3FD}"/>
            </a:ext>
          </a:extLst>
        </xdr:cNvPr>
        <xdr:cNvSpPr/>
      </xdr:nvSpPr>
      <xdr:spPr>
        <a:xfrm>
          <a:off x="12087225" y="23774400"/>
          <a:ext cx="939712" cy="1876425"/>
        </a:xfrm>
        <a:prstGeom prst="upArrow">
          <a:avLst/>
        </a:prstGeom>
        <a:gradFill>
          <a:gsLst>
            <a:gs pos="1000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gradFill>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da-DK" sz="1400"/>
            <a:t>Til top</a:t>
          </a:r>
        </a:p>
      </xdr:txBody>
    </xdr:sp>
    <xdr:clientData fPrintsWithSheet="0"/>
  </xdr:twoCellAnchor>
  <xdr:twoCellAnchor>
    <xdr:from>
      <xdr:col>16</xdr:col>
      <xdr:colOff>495300</xdr:colOff>
      <xdr:row>253</xdr:row>
      <xdr:rowOff>104775</xdr:rowOff>
    </xdr:from>
    <xdr:to>
      <xdr:col>18</xdr:col>
      <xdr:colOff>215812</xdr:colOff>
      <xdr:row>270</xdr:row>
      <xdr:rowOff>85725</xdr:rowOff>
    </xdr:to>
    <xdr:sp macro="" textlink="">
      <xdr:nvSpPr>
        <xdr:cNvPr id="19" name="Pil: opadgående 18">
          <a:hlinkClick xmlns:r="http://schemas.openxmlformats.org/officeDocument/2006/relationships" r:id="rId2"/>
          <a:extLst>
            <a:ext uri="{FF2B5EF4-FFF2-40B4-BE49-F238E27FC236}">
              <a16:creationId xmlns:a16="http://schemas.microsoft.com/office/drawing/2014/main" id="{D9AA082D-9FF8-44C0-934E-8480CC4275F4}"/>
            </a:ext>
          </a:extLst>
        </xdr:cNvPr>
        <xdr:cNvSpPr/>
      </xdr:nvSpPr>
      <xdr:spPr>
        <a:xfrm>
          <a:off x="12087225" y="30889575"/>
          <a:ext cx="939712" cy="1876425"/>
        </a:xfrm>
        <a:prstGeom prst="upArrow">
          <a:avLst/>
        </a:prstGeom>
        <a:gradFill>
          <a:gsLst>
            <a:gs pos="1000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gradFill>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da-DK" sz="1400"/>
            <a:t>Til top</a:t>
          </a:r>
        </a:p>
      </xdr:txBody>
    </xdr:sp>
    <xdr:clientData fPrintsWithSheet="0"/>
  </xdr:twoCellAnchor>
  <xdr:twoCellAnchor>
    <xdr:from>
      <xdr:col>16</xdr:col>
      <xdr:colOff>542925</xdr:colOff>
      <xdr:row>312</xdr:row>
      <xdr:rowOff>66675</xdr:rowOff>
    </xdr:from>
    <xdr:to>
      <xdr:col>18</xdr:col>
      <xdr:colOff>263437</xdr:colOff>
      <xdr:row>329</xdr:row>
      <xdr:rowOff>47625</xdr:rowOff>
    </xdr:to>
    <xdr:sp macro="" textlink="">
      <xdr:nvSpPr>
        <xdr:cNvPr id="20" name="Pil: opadgående 19">
          <a:hlinkClick xmlns:r="http://schemas.openxmlformats.org/officeDocument/2006/relationships" r:id="rId2"/>
          <a:extLst>
            <a:ext uri="{FF2B5EF4-FFF2-40B4-BE49-F238E27FC236}">
              <a16:creationId xmlns:a16="http://schemas.microsoft.com/office/drawing/2014/main" id="{3EF30754-FD1C-4B22-BBFA-4DD3DFEC777F}"/>
            </a:ext>
          </a:extLst>
        </xdr:cNvPr>
        <xdr:cNvSpPr/>
      </xdr:nvSpPr>
      <xdr:spPr>
        <a:xfrm>
          <a:off x="12134850" y="37861875"/>
          <a:ext cx="939712" cy="1876425"/>
        </a:xfrm>
        <a:prstGeom prst="upArrow">
          <a:avLst/>
        </a:prstGeom>
        <a:gradFill>
          <a:gsLst>
            <a:gs pos="1000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gradFill>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da-DK" sz="1400"/>
            <a:t>Til top</a:t>
          </a:r>
        </a:p>
      </xdr:txBody>
    </xdr:sp>
    <xdr:clientData fPrintsWithSheet="0"/>
  </xdr:twoCellAnchor>
  <xdr:twoCellAnchor>
    <xdr:from>
      <xdr:col>16</xdr:col>
      <xdr:colOff>504825</xdr:colOff>
      <xdr:row>371</xdr:row>
      <xdr:rowOff>114300</xdr:rowOff>
    </xdr:from>
    <xdr:to>
      <xdr:col>18</xdr:col>
      <xdr:colOff>225337</xdr:colOff>
      <xdr:row>388</xdr:row>
      <xdr:rowOff>95250</xdr:rowOff>
    </xdr:to>
    <xdr:sp macro="" textlink="">
      <xdr:nvSpPr>
        <xdr:cNvPr id="21" name="Pil: opadgående 20">
          <a:hlinkClick xmlns:r="http://schemas.openxmlformats.org/officeDocument/2006/relationships" r:id="rId2"/>
          <a:extLst>
            <a:ext uri="{FF2B5EF4-FFF2-40B4-BE49-F238E27FC236}">
              <a16:creationId xmlns:a16="http://schemas.microsoft.com/office/drawing/2014/main" id="{1101F19F-A2EC-4493-BD85-176614B8E5A9}"/>
            </a:ext>
          </a:extLst>
        </xdr:cNvPr>
        <xdr:cNvSpPr/>
      </xdr:nvSpPr>
      <xdr:spPr>
        <a:xfrm>
          <a:off x="12096750" y="44919900"/>
          <a:ext cx="939712" cy="1876425"/>
        </a:xfrm>
        <a:prstGeom prst="upArrow">
          <a:avLst/>
        </a:prstGeom>
        <a:gradFill>
          <a:gsLst>
            <a:gs pos="1000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gradFill>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da-DK" sz="1400"/>
            <a:t>Til top</a:t>
          </a:r>
        </a:p>
      </xdr:txBody>
    </xdr:sp>
    <xdr:clientData fPrintsWithSheet="0"/>
  </xdr:twoCellAnchor>
  <xdr:twoCellAnchor>
    <xdr:from>
      <xdr:col>16</xdr:col>
      <xdr:colOff>466725</xdr:colOff>
      <xdr:row>430</xdr:row>
      <xdr:rowOff>76200</xdr:rowOff>
    </xdr:from>
    <xdr:to>
      <xdr:col>18</xdr:col>
      <xdr:colOff>187237</xdr:colOff>
      <xdr:row>447</xdr:row>
      <xdr:rowOff>57150</xdr:rowOff>
    </xdr:to>
    <xdr:sp macro="" textlink="">
      <xdr:nvSpPr>
        <xdr:cNvPr id="22" name="Pil: opadgående 21">
          <a:hlinkClick xmlns:r="http://schemas.openxmlformats.org/officeDocument/2006/relationships" r:id="rId2"/>
          <a:extLst>
            <a:ext uri="{FF2B5EF4-FFF2-40B4-BE49-F238E27FC236}">
              <a16:creationId xmlns:a16="http://schemas.microsoft.com/office/drawing/2014/main" id="{D1FDE7D1-3AF7-42D2-B95F-96948E54C177}"/>
            </a:ext>
          </a:extLst>
        </xdr:cNvPr>
        <xdr:cNvSpPr/>
      </xdr:nvSpPr>
      <xdr:spPr>
        <a:xfrm>
          <a:off x="12058650" y="52035075"/>
          <a:ext cx="939712" cy="1876425"/>
        </a:xfrm>
        <a:prstGeom prst="upArrow">
          <a:avLst/>
        </a:prstGeom>
        <a:gradFill>
          <a:gsLst>
            <a:gs pos="1000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gradFill>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da-DK" sz="1400"/>
            <a:t>Til top</a:t>
          </a:r>
        </a:p>
      </xdr:txBody>
    </xdr:sp>
    <xdr:clientData fPrintsWithSheet="0"/>
  </xdr:twoCellAnchor>
  <xdr:twoCellAnchor>
    <xdr:from>
      <xdr:col>17</xdr:col>
      <xdr:colOff>19050</xdr:colOff>
      <xdr:row>489</xdr:row>
      <xdr:rowOff>66675</xdr:rowOff>
    </xdr:from>
    <xdr:to>
      <xdr:col>18</xdr:col>
      <xdr:colOff>349162</xdr:colOff>
      <xdr:row>506</xdr:row>
      <xdr:rowOff>47625</xdr:rowOff>
    </xdr:to>
    <xdr:sp macro="" textlink="">
      <xdr:nvSpPr>
        <xdr:cNvPr id="23" name="Pil: opadgående 22">
          <a:hlinkClick xmlns:r="http://schemas.openxmlformats.org/officeDocument/2006/relationships" r:id="rId2"/>
          <a:extLst>
            <a:ext uri="{FF2B5EF4-FFF2-40B4-BE49-F238E27FC236}">
              <a16:creationId xmlns:a16="http://schemas.microsoft.com/office/drawing/2014/main" id="{33694E37-BF3F-4324-B205-5E1DBD58D39F}"/>
            </a:ext>
          </a:extLst>
        </xdr:cNvPr>
        <xdr:cNvSpPr/>
      </xdr:nvSpPr>
      <xdr:spPr>
        <a:xfrm>
          <a:off x="12220575" y="59035950"/>
          <a:ext cx="939712" cy="1876425"/>
        </a:xfrm>
        <a:prstGeom prst="upArrow">
          <a:avLst/>
        </a:prstGeom>
        <a:gradFill>
          <a:gsLst>
            <a:gs pos="1000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gradFill>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da-DK" sz="1400"/>
            <a:t>Til top</a:t>
          </a:r>
        </a:p>
      </xdr:txBody>
    </xdr:sp>
    <xdr:clientData fPrintsWithSheet="0"/>
  </xdr:twoCellAnchor>
  <xdr:twoCellAnchor>
    <xdr:from>
      <xdr:col>16</xdr:col>
      <xdr:colOff>533400</xdr:colOff>
      <xdr:row>548</xdr:row>
      <xdr:rowOff>47625</xdr:rowOff>
    </xdr:from>
    <xdr:to>
      <xdr:col>18</xdr:col>
      <xdr:colOff>253912</xdr:colOff>
      <xdr:row>565</xdr:row>
      <xdr:rowOff>28575</xdr:rowOff>
    </xdr:to>
    <xdr:sp macro="" textlink="">
      <xdr:nvSpPr>
        <xdr:cNvPr id="24" name="Pil: opadgående 23">
          <a:hlinkClick xmlns:r="http://schemas.openxmlformats.org/officeDocument/2006/relationships" r:id="rId2"/>
          <a:extLst>
            <a:ext uri="{FF2B5EF4-FFF2-40B4-BE49-F238E27FC236}">
              <a16:creationId xmlns:a16="http://schemas.microsoft.com/office/drawing/2014/main" id="{21CC6936-D734-4958-ADDC-70861C86B5FC}"/>
            </a:ext>
          </a:extLst>
        </xdr:cNvPr>
        <xdr:cNvSpPr/>
      </xdr:nvSpPr>
      <xdr:spPr>
        <a:xfrm>
          <a:off x="12125325" y="66027300"/>
          <a:ext cx="939712" cy="1876425"/>
        </a:xfrm>
        <a:prstGeom prst="upArrow">
          <a:avLst/>
        </a:prstGeom>
        <a:gradFill>
          <a:gsLst>
            <a:gs pos="1000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gradFill>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da-DK" sz="1400"/>
            <a:t>Til top</a:t>
          </a:r>
        </a:p>
      </xdr:txBody>
    </xdr:sp>
    <xdr:clientData fPrintsWithSheet="0"/>
  </xdr:twoCellAnchor>
  <xdr:twoCellAnchor>
    <xdr:from>
      <xdr:col>16</xdr:col>
      <xdr:colOff>533400</xdr:colOff>
      <xdr:row>607</xdr:row>
      <xdr:rowOff>66675</xdr:rowOff>
    </xdr:from>
    <xdr:to>
      <xdr:col>18</xdr:col>
      <xdr:colOff>253912</xdr:colOff>
      <xdr:row>624</xdr:row>
      <xdr:rowOff>47625</xdr:rowOff>
    </xdr:to>
    <xdr:sp macro="" textlink="">
      <xdr:nvSpPr>
        <xdr:cNvPr id="25" name="Pil: opadgående 24">
          <a:hlinkClick xmlns:r="http://schemas.openxmlformats.org/officeDocument/2006/relationships" r:id="rId2"/>
          <a:extLst>
            <a:ext uri="{FF2B5EF4-FFF2-40B4-BE49-F238E27FC236}">
              <a16:creationId xmlns:a16="http://schemas.microsoft.com/office/drawing/2014/main" id="{2D466D9C-846C-40E5-84F3-C613579D7934}"/>
            </a:ext>
          </a:extLst>
        </xdr:cNvPr>
        <xdr:cNvSpPr/>
      </xdr:nvSpPr>
      <xdr:spPr>
        <a:xfrm>
          <a:off x="12125325" y="73056750"/>
          <a:ext cx="939712" cy="1876425"/>
        </a:xfrm>
        <a:prstGeom prst="upArrow">
          <a:avLst/>
        </a:prstGeom>
        <a:gradFill>
          <a:gsLst>
            <a:gs pos="1000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gradFill>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da-DK" sz="1400"/>
            <a:t>Til top</a:t>
          </a:r>
        </a:p>
      </xdr:txBody>
    </xdr:sp>
    <xdr:clientData fPrintsWithSheet="0"/>
  </xdr:twoCellAnchor>
  <xdr:twoCellAnchor>
    <xdr:from>
      <xdr:col>16</xdr:col>
      <xdr:colOff>419100</xdr:colOff>
      <xdr:row>666</xdr:row>
      <xdr:rowOff>85725</xdr:rowOff>
    </xdr:from>
    <xdr:to>
      <xdr:col>18</xdr:col>
      <xdr:colOff>139612</xdr:colOff>
      <xdr:row>683</xdr:row>
      <xdr:rowOff>66675</xdr:rowOff>
    </xdr:to>
    <xdr:sp macro="" textlink="">
      <xdr:nvSpPr>
        <xdr:cNvPr id="26" name="Pil: opadgående 25">
          <a:hlinkClick xmlns:r="http://schemas.openxmlformats.org/officeDocument/2006/relationships" r:id="rId3"/>
          <a:extLst>
            <a:ext uri="{FF2B5EF4-FFF2-40B4-BE49-F238E27FC236}">
              <a16:creationId xmlns:a16="http://schemas.microsoft.com/office/drawing/2014/main" id="{4D2F8E38-99F4-40FB-AA22-B2B8DB92B7C0}"/>
            </a:ext>
          </a:extLst>
        </xdr:cNvPr>
        <xdr:cNvSpPr/>
      </xdr:nvSpPr>
      <xdr:spPr>
        <a:xfrm>
          <a:off x="12011025" y="80086200"/>
          <a:ext cx="939712" cy="1876425"/>
        </a:xfrm>
        <a:prstGeom prst="upArrow">
          <a:avLst/>
        </a:prstGeom>
        <a:gradFill>
          <a:gsLst>
            <a:gs pos="1000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gradFill>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a:r>
            <a:rPr lang="da-DK" sz="1400"/>
            <a:t>Til top</a:t>
          </a:r>
        </a:p>
      </xdr:txBody>
    </xdr:sp>
    <xdr:clientData fPrintsWithSheet="0"/>
  </xdr:twoCellAnchor>
  <xdr:twoCellAnchor>
    <xdr:from>
      <xdr:col>17</xdr:col>
      <xdr:colOff>332657</xdr:colOff>
      <xdr:row>59</xdr:row>
      <xdr:rowOff>28395</xdr:rowOff>
    </xdr:from>
    <xdr:to>
      <xdr:col>21</xdr:col>
      <xdr:colOff>252947</xdr:colOff>
      <xdr:row>75</xdr:row>
      <xdr:rowOff>48523</xdr:rowOff>
    </xdr:to>
    <xdr:sp macro="" textlink="">
      <xdr:nvSpPr>
        <xdr:cNvPr id="27" name="Taleboble: rektangel med afrundede hjørner 26">
          <a:extLst>
            <a:ext uri="{FF2B5EF4-FFF2-40B4-BE49-F238E27FC236}">
              <a16:creationId xmlns:a16="http://schemas.microsoft.com/office/drawing/2014/main" id="{B1D45716-2B28-4BE0-80F5-B27AE77A2330}"/>
            </a:ext>
          </a:extLst>
        </xdr:cNvPr>
        <xdr:cNvSpPr/>
      </xdr:nvSpPr>
      <xdr:spPr>
        <a:xfrm>
          <a:off x="12581807" y="8238945"/>
          <a:ext cx="2358690" cy="2858578"/>
        </a:xfrm>
        <a:prstGeom prst="wedgeRoundRectCallout">
          <a:avLst>
            <a:gd name="adj1" fmla="val -71762"/>
            <a:gd name="adj2" fmla="val -17143"/>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da-DK" sz="1400" b="1"/>
            <a:t>Faste måltider </a:t>
          </a:r>
          <a:r>
            <a:rPr lang="da-DK" sz="1400" b="0"/>
            <a:t>indsættes automatisk ved tilmelding på tilmeldingsoversigten</a:t>
          </a:r>
        </a:p>
        <a:p>
          <a:pPr algn="l"/>
          <a:r>
            <a:rPr lang="da-DK" sz="1400" b="1"/>
            <a:t>Ved frameldinger</a:t>
          </a:r>
          <a:r>
            <a:rPr lang="da-DK" sz="1400" b="0"/>
            <a:t> slettes tekstfeltet ved dn enkelte dato og det enkelte måltid.</a:t>
          </a:r>
        </a:p>
        <a:p>
          <a:pPr algn="l"/>
          <a:r>
            <a:rPr lang="da-DK" sz="1400" b="1"/>
            <a:t>Ved tilmelding</a:t>
          </a:r>
          <a:r>
            <a:rPr lang="da-DK" sz="1400" b="0"/>
            <a:t> indtastes navnet på måltidet i det aktuelle felt og prisen tilføjes automatisk.</a:t>
          </a:r>
          <a:r>
            <a:rPr lang="da-DK" sz="1400" b="1"/>
            <a:t> </a:t>
          </a:r>
        </a:p>
      </xdr:txBody>
    </xdr: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7181D70-E8EA-47F1-944E-4C786645DBB4}" name="Måneder" displayName="Måneder" ref="C4:D16" totalsRowShown="0">
  <autoFilter ref="C4:D16" xr:uid="{A5F0503C-C25D-4436-B830-A80E8AAA7DC8}"/>
  <tableColumns count="2">
    <tableColumn id="1" xr3:uid="{EC20A042-2006-48FD-92A3-0DD98DB35AFE}" name="Måned"/>
    <tableColumn id="2" xr3:uid="{481DEBD5-0025-4E0C-A5EB-49E2D87D7952}" name="værdi"/>
  </tableColumns>
  <tableStyleInfo name="Billing Statemen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6E578DE-53BC-4551-9DC5-6777E74AAE87}" name="Årstal" displayName="Årstal" ref="F4:I15" totalsRowShown="0">
  <autoFilter ref="F4:I15" xr:uid="{E1532876-DD05-47FD-B3D0-59BB05924215}"/>
  <tableColumns count="4">
    <tableColumn id="1" xr3:uid="{C0ACED53-68D2-4613-AEDF-72440918E371}" name="Årstal"/>
    <tableColumn id="2" xr3:uid="{D8F39B48-5D47-48BC-A18C-69B25921B8D5}" name="datoformat"/>
    <tableColumn id="3" xr3:uid="{10A77E3D-1ADA-465D-A488-DAD0A931024B}" name="slut 1.kv"/>
    <tableColumn id="4" xr3:uid="{A015DD05-72E6-44BC-BD18-C3F2BD26AB4B}" name="start 2.kv"/>
  </tableColumns>
  <tableStyleInfo name="Billing Statement"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3D47511-D90A-4D11-92D2-EEC0DEF339E0}" name="Tabel7" displayName="Tabel7" ref="C19:D22" totalsRowShown="0">
  <autoFilter ref="C19:D22" xr:uid="{79703C98-B50F-49F2-AA6E-2F00BBD0463C}"/>
  <tableColumns count="2">
    <tableColumn id="1" xr3:uid="{62472E1F-5685-4139-AB13-F56F6767301B}" name="Faste ydelser"/>
    <tableColumn id="2" xr3:uid="{E4916D5E-AB8D-4C8E-BA46-FB16545D6571}" name="Pris"/>
  </tableColumns>
  <tableStyleInfo name="Billing Statement"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421BA97-285A-47E0-9441-F378AD62C1F3}" name="Tabel8" displayName="Tabel8" ref="C24:D26" totalsRowShown="0">
  <autoFilter ref="C24:D26" xr:uid="{4C0FF191-A56E-46ED-9AED-EE7DC4212449}"/>
  <tableColumns count="2">
    <tableColumn id="1" xr3:uid="{2EC637D8-2344-4E29-A7CD-741E1F07CBFC}" name="Øvrige ydelser" dataDxfId="1325">
      <calculatedColumnFormula>IF(Betalingsopgørelse!C7=L5,C28,IF(Betalingsopgørelse!C7=L6,C28,IF(Betalingsopgørelse!C7=L7,C28,IF(Betalingsopgørelse!C7=L8,C28,IF(Betalingsopgørelse!C7=L9,C28,IF(Betalingsopgørelse!C7=L10,C28,C20))))))</calculatedColumnFormula>
    </tableColumn>
    <tableColumn id="2" xr3:uid="{C24AA792-5B42-4A83-8D40-E6FBED64217A}" name="Pris" dataDxfId="1324"/>
  </tableColumns>
  <tableStyleInfo name="Billing Statement"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Data" displayName="Data" ref="B16:H19" totalsRowCount="1" headerRowDxfId="1299" dataDxfId="1298" totalsRowDxfId="1297">
  <autoFilter ref="B16:H18" xr:uid="{00000000-0009-0000-0100-000002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000-000001000000}" name="Faste ydelser*" dataDxfId="1296" totalsRowDxfId="20"/>
    <tableColumn id="2" xr3:uid="{00000000-0010-0000-0000-000002000000}" name="     " dataDxfId="1295" totalsRowDxfId="19"/>
    <tableColumn id="3" xr3:uid="{00000000-0010-0000-0000-000003000000}" name="    " dataDxfId="1294" totalsRowDxfId="18"/>
    <tableColumn id="4" xr3:uid="{00000000-0010-0000-0000-000004000000}" name="             " dataDxfId="1293" totalsRowDxfId="17"/>
    <tableColumn id="5" xr3:uid="{00000000-0010-0000-0000-000005000000}" name="   " dataDxfId="1292" totalsRowDxfId="16"/>
    <tableColumn id="6" xr3:uid="{00000000-0010-0000-0000-000006000000}" name="Pris" totalsRowLabel="TOTAL" dataDxfId="1291" totalsRowDxfId="15"/>
    <tableColumn id="7" xr3:uid="{00000000-0010-0000-0000-000007000000}" name=" pr. måned" totalsRowLabel="kr. 148,00" dataDxfId="1290" totalsRowDxfId="14">
      <calculatedColumnFormula>IF(ISBLANK(B17),0,VLOOKUP(B17,Dataark!$C$20:$D$22,2,FALSE))</calculatedColumnFormula>
    </tableColumn>
  </tableColumns>
  <tableStyleInfo name="TableStyleLight11" showFirstColumn="0" showLastColumn="1" showRowStripes="1" showColumnStripes="0"/>
  <extLst>
    <ext xmlns:x14="http://schemas.microsoft.com/office/spreadsheetml/2009/9/main" uri="{504A1905-F514-4f6f-8877-14C23A59335A}">
      <x14:table altTextSummary="Enter Date, Type, Invoice number, Description, Amount, and Payment in this table. Balance is automatically calculated"/>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FCBBEAB-A2C3-41F4-AD3D-3BF34F6AB147}" name="Data2" displayName="Data2" ref="B21:H28" totalsRowCount="1" headerRowDxfId="1289" dataDxfId="1288" totalsRowDxfId="1287">
  <autoFilter ref="B21:H27" xr:uid="{69496295-4772-4F19-8EB0-14DB4F1603C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42BBC3C-655B-4C6C-9BC2-C930EBA53FE1}" name="Øvrige service ydelser*" totalsRowLabel="I alt pr. måned som betales månedsvist forud via PBS/regning" dataDxfId="13" totalsRowDxfId="6"/>
    <tableColumn id="2" xr3:uid="{CAAFAB41-6FD3-48E7-8C62-1CD63085452C}" name="     " dataDxfId="12" totalsRowDxfId="5"/>
    <tableColumn id="3" xr3:uid="{EA903C66-3E95-416D-98E5-28CAE5EE17D5}" name="    " dataDxfId="11" totalsRowDxfId="4"/>
    <tableColumn id="4" xr3:uid="{D06405FB-25D0-4E78-A5C9-304504D4163D}" name="             " dataDxfId="10" totalsRowDxfId="3"/>
    <tableColumn id="5" xr3:uid="{905EA62F-33DE-484B-A601-A2C63B612DFE}" name="   " dataDxfId="9" totalsRowDxfId="2"/>
    <tableColumn id="6" xr3:uid="{47318D87-302D-4BBC-AEFA-4EE4C0BD0353}" name="Pris" totalsRowLabel="TOTAL" dataDxfId="8" totalsRowDxfId="1">
      <calculatedColumnFormula>IF(Tilmeldingsoversigt!J8=1,Tilmeldingsoversigt!G16," ")</calculatedColumnFormula>
    </tableColumn>
    <tableColumn id="7" xr3:uid="{65D8127B-93D6-4044-A8B9-5512CD0D18C9}" name=" pr. måned" totalsRowLabel="kr. 4537,00" dataDxfId="7" totalsRowDxfId="0">
      <calculatedColumnFormula>IF(Data2[[#This Row],[   ]]&gt;0,Data2[[#This Row],[   ]]-Data2[[#This Row],[Pris]],"")</calculatedColumnFormula>
    </tableColumn>
  </tableColumns>
  <tableStyleInfo name="TableStyleLight11" showFirstColumn="0" showLastColumn="1" showRowStripes="1" showColumnStripes="0"/>
  <extLst>
    <ext xmlns:x14="http://schemas.microsoft.com/office/spreadsheetml/2009/9/main" uri="{504A1905-F514-4f6f-8877-14C23A59335A}">
      <x14:table altTextSummary="Enter Date, Type, Invoice number, Description, Amount, and Payment in this table. Balance is automatically calculated"/>
    </ext>
  </extLst>
</table>
</file>

<file path=xl/theme/theme1.xml><?xml version="1.0" encoding="utf-8"?>
<a:theme xmlns:a="http://schemas.openxmlformats.org/drawingml/2006/main" name="Office Theme">
  <a:themeElements>
    <a:clrScheme name="Billing statement">
      <a:dk1>
        <a:srgbClr val="000000"/>
      </a:dk1>
      <a:lt1>
        <a:srgbClr val="FFFFFF"/>
      </a:lt1>
      <a:dk2>
        <a:srgbClr val="2F2024"/>
      </a:dk2>
      <a:lt2>
        <a:srgbClr val="D8CDAC"/>
      </a:lt2>
      <a:accent1>
        <a:srgbClr val="9D8130"/>
      </a:accent1>
      <a:accent2>
        <a:srgbClr val="7D2F3B"/>
      </a:accent2>
      <a:accent3>
        <a:srgbClr val="77A3A5"/>
      </a:accent3>
      <a:accent4>
        <a:srgbClr val="DB9F48"/>
      </a:accent4>
      <a:accent5>
        <a:srgbClr val="8D9F55"/>
      </a:accent5>
      <a:accent6>
        <a:srgbClr val="826B45"/>
      </a:accent6>
      <a:hlink>
        <a:srgbClr val="77A3A5"/>
      </a:hlink>
      <a:folHlink>
        <a:srgbClr val="9A4F73"/>
      </a:folHlink>
    </a:clrScheme>
    <a:fontScheme name="Billing statement">
      <a:majorFont>
        <a:latin typeface="Arial"/>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table" Target="../tables/table6.xml"/><Relationship Id="rId4" Type="http://schemas.openxmlformats.org/officeDocument/2006/relationships/table" Target="../tables/table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183C7-487A-4025-9EB0-63288DFCA402}">
  <sheetPr codeName="Ark5"/>
  <dimension ref="C1:AD29"/>
  <sheetViews>
    <sheetView workbookViewId="0">
      <selection activeCell="N10" sqref="N10"/>
    </sheetView>
  </sheetViews>
  <sheetFormatPr defaultRowHeight="15" x14ac:dyDescent="0.25"/>
  <cols>
    <col min="3" max="3" width="28.42578125" bestFit="1" customWidth="1"/>
    <col min="4" max="4" width="11.5703125" customWidth="1"/>
    <col min="5" max="5" width="9.140625" customWidth="1"/>
    <col min="7" max="7" width="14.85546875" customWidth="1"/>
    <col min="8" max="9" width="10.42578125" bestFit="1" customWidth="1"/>
    <col min="12" max="12" width="26.42578125" customWidth="1"/>
    <col min="13" max="13" width="17.7109375" customWidth="1"/>
    <col min="14" max="14" width="14.85546875" bestFit="1" customWidth="1"/>
    <col min="16" max="16" width="11.5703125" bestFit="1" customWidth="1"/>
    <col min="20" max="20" width="11.5703125" bestFit="1" customWidth="1"/>
    <col min="23" max="23" width="11.5703125" bestFit="1" customWidth="1"/>
  </cols>
  <sheetData>
    <row r="1" spans="3:30" x14ac:dyDescent="0.25">
      <c r="L1" s="147"/>
      <c r="M1" s="187" t="s">
        <v>135</v>
      </c>
      <c r="N1" s="187"/>
      <c r="O1" s="187"/>
      <c r="P1" s="187"/>
      <c r="Q1" s="187"/>
      <c r="R1" s="187"/>
      <c r="S1" s="187"/>
      <c r="T1" s="188" t="s">
        <v>136</v>
      </c>
      <c r="U1" s="188"/>
      <c r="V1" s="189"/>
      <c r="W1" s="190" t="s">
        <v>140</v>
      </c>
      <c r="X1" s="191"/>
      <c r="Y1" s="191"/>
      <c r="Z1" s="191"/>
      <c r="AA1" s="191"/>
      <c r="AB1" s="191"/>
      <c r="AC1" s="191"/>
      <c r="AD1" s="192"/>
    </row>
    <row r="2" spans="3:30" ht="30" customHeight="1" x14ac:dyDescent="0.25">
      <c r="L2" s="147" t="s">
        <v>142</v>
      </c>
      <c r="M2" s="187" t="s">
        <v>132</v>
      </c>
      <c r="N2" s="187" t="s">
        <v>133</v>
      </c>
      <c r="O2" s="187" t="s">
        <v>24</v>
      </c>
      <c r="P2" s="187" t="s">
        <v>25</v>
      </c>
      <c r="Q2" s="187" t="s">
        <v>15</v>
      </c>
      <c r="R2" s="187" t="s">
        <v>26</v>
      </c>
      <c r="S2" s="187" t="s">
        <v>16</v>
      </c>
      <c r="T2" s="188" t="s">
        <v>24</v>
      </c>
      <c r="U2" s="188" t="s">
        <v>134</v>
      </c>
      <c r="V2" s="189" t="s">
        <v>26</v>
      </c>
      <c r="W2" s="193" t="s">
        <v>24</v>
      </c>
      <c r="X2" s="194" t="s">
        <v>25</v>
      </c>
      <c r="Y2" s="194" t="s">
        <v>15</v>
      </c>
      <c r="Z2" s="194" t="s">
        <v>26</v>
      </c>
      <c r="AA2" s="194" t="s">
        <v>16</v>
      </c>
      <c r="AB2" s="194" t="s">
        <v>24</v>
      </c>
      <c r="AC2" s="194" t="s">
        <v>134</v>
      </c>
      <c r="AD2" s="196" t="s">
        <v>26</v>
      </c>
    </row>
    <row r="3" spans="3:30" x14ac:dyDescent="0.25">
      <c r="L3" s="147"/>
      <c r="M3" s="187"/>
      <c r="N3" s="187"/>
      <c r="O3" s="187"/>
      <c r="P3" s="187"/>
      <c r="Q3" s="187"/>
      <c r="R3" s="187"/>
      <c r="S3" s="187"/>
      <c r="T3" s="188"/>
      <c r="U3" s="188"/>
      <c r="V3" s="189"/>
      <c r="W3" s="193"/>
      <c r="X3" s="194"/>
      <c r="Y3" s="194"/>
      <c r="Z3" s="194"/>
      <c r="AA3" s="194"/>
      <c r="AB3" s="194"/>
      <c r="AC3" s="194"/>
      <c r="AD3" s="196"/>
    </row>
    <row r="4" spans="3:30" ht="20.25" customHeight="1" x14ac:dyDescent="0.25">
      <c r="C4" t="s">
        <v>114</v>
      </c>
      <c r="D4" t="s">
        <v>115</v>
      </c>
      <c r="F4" t="s">
        <v>118</v>
      </c>
      <c r="G4" t="s">
        <v>119</v>
      </c>
      <c r="H4" t="s">
        <v>120</v>
      </c>
      <c r="I4" t="s">
        <v>121</v>
      </c>
      <c r="L4" s="147" t="s">
        <v>122</v>
      </c>
      <c r="M4" s="187"/>
      <c r="N4" s="187"/>
      <c r="O4" s="187"/>
      <c r="P4" s="187"/>
      <c r="Q4" s="187"/>
      <c r="R4" s="187"/>
      <c r="S4" s="187"/>
      <c r="T4" s="188"/>
      <c r="U4" s="188"/>
      <c r="V4" s="189"/>
      <c r="W4" s="193"/>
      <c r="X4" s="194"/>
      <c r="Y4" s="194"/>
      <c r="Z4" s="194"/>
      <c r="AA4" s="194"/>
      <c r="AB4" s="194"/>
      <c r="AC4" s="194"/>
      <c r="AD4" s="196"/>
    </row>
    <row r="5" spans="3:30" x14ac:dyDescent="0.25">
      <c r="C5" t="s">
        <v>60</v>
      </c>
      <c r="D5">
        <v>1</v>
      </c>
      <c r="F5">
        <v>2020</v>
      </c>
      <c r="G5" s="130">
        <v>43831</v>
      </c>
      <c r="H5" s="130">
        <v>44012</v>
      </c>
      <c r="I5" s="130">
        <v>44013</v>
      </c>
      <c r="L5" s="147" t="s">
        <v>143</v>
      </c>
      <c r="M5" s="148"/>
      <c r="N5" s="184">
        <v>3880</v>
      </c>
      <c r="O5" s="148">
        <v>511</v>
      </c>
      <c r="P5" s="148">
        <v>1678</v>
      </c>
      <c r="Q5" s="148">
        <v>475</v>
      </c>
      <c r="R5" s="148">
        <v>840</v>
      </c>
      <c r="S5" s="148">
        <v>406</v>
      </c>
      <c r="T5" s="149">
        <f>O5</f>
        <v>511</v>
      </c>
      <c r="U5" s="149">
        <f>P5</f>
        <v>1678</v>
      </c>
      <c r="V5" s="169">
        <f>R5</f>
        <v>840</v>
      </c>
      <c r="W5" s="172">
        <f ca="1">(12*O5)/(Tilmeldingsoversigt!$P$16+Tilmeldingsoversigt!$R$16)</f>
        <v>16.754098360655739</v>
      </c>
      <c r="X5" s="173">
        <f ca="1">(12*P5)/(Tilmeldingsoversigt!$P$16+Tilmeldingsoversigt!$R$16)</f>
        <v>55.016393442622949</v>
      </c>
      <c r="Y5" s="173">
        <f ca="1">(12*Q5)/(Tilmeldingsoversigt!$P$16+Tilmeldingsoversigt!$R$16)</f>
        <v>15.573770491803279</v>
      </c>
      <c r="Z5" s="173">
        <f ca="1">(12*R5)/(Tilmeldingsoversigt!$P$16+Tilmeldingsoversigt!$R$16)</f>
        <v>27.540983606557376</v>
      </c>
      <c r="AA5" s="173">
        <f ca="1">(12*S5)/(Tilmeldingsoversigt!$P$16+Tilmeldingsoversigt!$R$16)</f>
        <v>13.311475409836065</v>
      </c>
      <c r="AB5" s="173">
        <f ca="1">(12*T5)/(Tilmeldingsoversigt!$P$16+Tilmeldingsoversigt!$R$16)</f>
        <v>16.754098360655739</v>
      </c>
      <c r="AC5" s="173">
        <f ca="1">(12*U5)/(Tilmeldingsoversigt!$P$16+Tilmeldingsoversigt!$R$16)</f>
        <v>55.016393442622949</v>
      </c>
      <c r="AD5" s="174">
        <f ca="1">(12*V5)/(Tilmeldingsoversigt!$P$16+Tilmeldingsoversigt!$R$16)</f>
        <v>27.540983606557376</v>
      </c>
    </row>
    <row r="6" spans="3:30" x14ac:dyDescent="0.25">
      <c r="C6" t="s">
        <v>61</v>
      </c>
      <c r="D6">
        <v>2</v>
      </c>
      <c r="F6">
        <v>2021</v>
      </c>
      <c r="G6" s="130">
        <v>44197</v>
      </c>
      <c r="H6" s="130">
        <v>44377</v>
      </c>
      <c r="I6" s="130">
        <v>44378</v>
      </c>
      <c r="L6" s="147" t="s">
        <v>144</v>
      </c>
      <c r="M6" s="148"/>
      <c r="N6" s="184">
        <v>3880</v>
      </c>
      <c r="O6" s="148">
        <v>511</v>
      </c>
      <c r="P6" s="148">
        <v>1678</v>
      </c>
      <c r="Q6" s="148">
        <v>475</v>
      </c>
      <c r="R6" s="148">
        <v>840</v>
      </c>
      <c r="S6" s="148">
        <v>406</v>
      </c>
      <c r="T6" s="149">
        <v>491</v>
      </c>
      <c r="U6" s="149">
        <v>1613</v>
      </c>
      <c r="V6" s="169">
        <v>808</v>
      </c>
      <c r="W6" s="172">
        <f ca="1">(12*O6)/(Tilmeldingsoversigt!$P$16+Tilmeldingsoversigt!$R$16)</f>
        <v>16.754098360655739</v>
      </c>
      <c r="X6" s="173">
        <f ca="1">(12*P6)/(Tilmeldingsoversigt!$P$16+Tilmeldingsoversigt!$R$16)</f>
        <v>55.016393442622949</v>
      </c>
      <c r="Y6" s="173">
        <f ca="1">(12*Q6)/(Tilmeldingsoversigt!$P$16+Tilmeldingsoversigt!$R$16)</f>
        <v>15.573770491803279</v>
      </c>
      <c r="Z6" s="173">
        <f ca="1">(12*R6)/(Tilmeldingsoversigt!$P$16+Tilmeldingsoversigt!$R$16)</f>
        <v>27.540983606557376</v>
      </c>
      <c r="AA6" s="173">
        <f ca="1">(12*S6)/(Tilmeldingsoversigt!$P$16+Tilmeldingsoversigt!$R$16)</f>
        <v>13.311475409836065</v>
      </c>
      <c r="AB6" s="173">
        <f ca="1">(12*T6)/(Tilmeldingsoversigt!$P$16+Tilmeldingsoversigt!$R$16)</f>
        <v>16.098360655737704</v>
      </c>
      <c r="AC6" s="173">
        <f ca="1">(12*U6)/(Tilmeldingsoversigt!$P$16+Tilmeldingsoversigt!$R$16)</f>
        <v>52.885245901639344</v>
      </c>
      <c r="AD6" s="174">
        <f ca="1">(12*V6)/(Tilmeldingsoversigt!$P$16+Tilmeldingsoversigt!$R$16)</f>
        <v>26.491803278688526</v>
      </c>
    </row>
    <row r="7" spans="3:30" x14ac:dyDescent="0.25">
      <c r="C7" t="s">
        <v>62</v>
      </c>
      <c r="D7">
        <v>3</v>
      </c>
      <c r="F7">
        <v>2022</v>
      </c>
      <c r="G7" s="130">
        <v>44562</v>
      </c>
      <c r="H7" s="130">
        <v>44742</v>
      </c>
      <c r="I7" s="130">
        <v>44743</v>
      </c>
      <c r="L7" s="147" t="s">
        <v>145</v>
      </c>
      <c r="M7" s="148"/>
      <c r="N7" s="184">
        <v>3880</v>
      </c>
      <c r="O7" s="148">
        <v>511</v>
      </c>
      <c r="P7" s="148">
        <v>1678</v>
      </c>
      <c r="Q7" s="148">
        <v>475</v>
      </c>
      <c r="R7" s="148">
        <v>840</v>
      </c>
      <c r="S7" s="148">
        <v>406</v>
      </c>
      <c r="T7" s="149">
        <v>491</v>
      </c>
      <c r="U7" s="149">
        <v>1613</v>
      </c>
      <c r="V7" s="169">
        <v>808</v>
      </c>
      <c r="W7" s="172">
        <f ca="1">(12*O7)/(Tilmeldingsoversigt!$P$16+Tilmeldingsoversigt!$R$16)</f>
        <v>16.754098360655739</v>
      </c>
      <c r="X7" s="173">
        <f ca="1">(12*P7)/(Tilmeldingsoversigt!$P$16+Tilmeldingsoversigt!$R$16)</f>
        <v>55.016393442622949</v>
      </c>
      <c r="Y7" s="173">
        <f ca="1">(12*Q7)/(Tilmeldingsoversigt!$P$16+Tilmeldingsoversigt!$R$16)</f>
        <v>15.573770491803279</v>
      </c>
      <c r="Z7" s="173">
        <f ca="1">(12*R7)/(Tilmeldingsoversigt!$P$16+Tilmeldingsoversigt!$R$16)</f>
        <v>27.540983606557376</v>
      </c>
      <c r="AA7" s="173">
        <f ca="1">(12*S7)/(Tilmeldingsoversigt!$P$16+Tilmeldingsoversigt!$R$16)</f>
        <v>13.311475409836065</v>
      </c>
      <c r="AB7" s="173">
        <f ca="1">(12*T7)/(Tilmeldingsoversigt!$P$16+Tilmeldingsoversigt!$R$16)</f>
        <v>16.098360655737704</v>
      </c>
      <c r="AC7" s="173">
        <f ca="1">(12*U7)/(Tilmeldingsoversigt!$P$16+Tilmeldingsoversigt!$R$16)</f>
        <v>52.885245901639344</v>
      </c>
      <c r="AD7" s="174">
        <f ca="1">(12*V7)/(Tilmeldingsoversigt!$P$16+Tilmeldingsoversigt!$R$16)</f>
        <v>26.491803278688526</v>
      </c>
    </row>
    <row r="8" spans="3:30" x14ac:dyDescent="0.25">
      <c r="C8" t="s">
        <v>63</v>
      </c>
      <c r="D8">
        <v>4</v>
      </c>
      <c r="F8">
        <v>2023</v>
      </c>
      <c r="G8" s="130">
        <v>44927</v>
      </c>
      <c r="H8" s="130">
        <v>45107</v>
      </c>
      <c r="I8" s="130">
        <v>45108</v>
      </c>
      <c r="L8" s="147" t="s">
        <v>146</v>
      </c>
      <c r="M8" s="148"/>
      <c r="N8" s="184">
        <v>3880</v>
      </c>
      <c r="O8" s="148">
        <v>511</v>
      </c>
      <c r="P8" s="148">
        <v>1678</v>
      </c>
      <c r="Q8" s="148">
        <v>475</v>
      </c>
      <c r="R8" s="148">
        <v>840</v>
      </c>
      <c r="S8" s="148">
        <v>406</v>
      </c>
      <c r="T8" s="149">
        <v>491</v>
      </c>
      <c r="U8" s="149">
        <v>1613</v>
      </c>
      <c r="V8" s="169">
        <v>808</v>
      </c>
      <c r="W8" s="172">
        <f ca="1">(12*O8)/(Tilmeldingsoversigt!$P$16+Tilmeldingsoversigt!$R$16)</f>
        <v>16.754098360655739</v>
      </c>
      <c r="X8" s="173">
        <f ca="1">(12*P8)/(Tilmeldingsoversigt!$P$16+Tilmeldingsoversigt!$R$16)</f>
        <v>55.016393442622949</v>
      </c>
      <c r="Y8" s="173">
        <f ca="1">(12*Q8)/(Tilmeldingsoversigt!$P$16+Tilmeldingsoversigt!$R$16)</f>
        <v>15.573770491803279</v>
      </c>
      <c r="Z8" s="173">
        <f ca="1">(12*R8)/(Tilmeldingsoversigt!$P$16+Tilmeldingsoversigt!$R$16)</f>
        <v>27.540983606557376</v>
      </c>
      <c r="AA8" s="173">
        <f ca="1">(12*S8)/(Tilmeldingsoversigt!$P$16+Tilmeldingsoversigt!$R$16)</f>
        <v>13.311475409836065</v>
      </c>
      <c r="AB8" s="173">
        <f ca="1">(12*T8)/(Tilmeldingsoversigt!$P$16+Tilmeldingsoversigt!$R$16)</f>
        <v>16.098360655737704</v>
      </c>
      <c r="AC8" s="173">
        <f ca="1">(12*U8)/(Tilmeldingsoversigt!$P$16+Tilmeldingsoversigt!$R$16)</f>
        <v>52.885245901639344</v>
      </c>
      <c r="AD8" s="174">
        <f ca="1">(12*V8)/(Tilmeldingsoversigt!$P$16+Tilmeldingsoversigt!$R$16)</f>
        <v>26.491803278688526</v>
      </c>
    </row>
    <row r="9" spans="3:30" x14ac:dyDescent="0.25">
      <c r="C9" t="s">
        <v>64</v>
      </c>
      <c r="D9">
        <v>5</v>
      </c>
      <c r="F9">
        <v>2024</v>
      </c>
      <c r="G9" s="130">
        <v>45292</v>
      </c>
      <c r="H9" s="130">
        <v>45473</v>
      </c>
      <c r="I9" s="130">
        <v>45474</v>
      </c>
      <c r="L9" s="147" t="s">
        <v>147</v>
      </c>
      <c r="M9" s="148"/>
      <c r="N9" s="184">
        <v>3880</v>
      </c>
      <c r="O9" s="148">
        <v>511</v>
      </c>
      <c r="P9" s="148">
        <v>1678</v>
      </c>
      <c r="Q9" s="148">
        <v>475</v>
      </c>
      <c r="R9" s="148">
        <v>840</v>
      </c>
      <c r="S9" s="148">
        <v>406</v>
      </c>
      <c r="T9" s="149">
        <v>491</v>
      </c>
      <c r="U9" s="149">
        <v>1613</v>
      </c>
      <c r="V9" s="169">
        <v>808</v>
      </c>
      <c r="W9" s="172">
        <f ca="1">(12*O9)/(Tilmeldingsoversigt!$P$16+Tilmeldingsoversigt!$R$16)</f>
        <v>16.754098360655739</v>
      </c>
      <c r="X9" s="173">
        <f ca="1">(12*P9)/(Tilmeldingsoversigt!$P$16+Tilmeldingsoversigt!$R$16)</f>
        <v>55.016393442622949</v>
      </c>
      <c r="Y9" s="173">
        <f ca="1">(12*Q9)/(Tilmeldingsoversigt!$P$16+Tilmeldingsoversigt!$R$16)</f>
        <v>15.573770491803279</v>
      </c>
      <c r="Z9" s="173">
        <f ca="1">(12*R9)/(Tilmeldingsoversigt!$P$16+Tilmeldingsoversigt!$R$16)</f>
        <v>27.540983606557376</v>
      </c>
      <c r="AA9" s="173">
        <f ca="1">(12*S9)/(Tilmeldingsoversigt!$P$16+Tilmeldingsoversigt!$R$16)</f>
        <v>13.311475409836065</v>
      </c>
      <c r="AB9" s="173">
        <f ca="1">(12*T9)/(Tilmeldingsoversigt!$P$16+Tilmeldingsoversigt!$R$16)</f>
        <v>16.098360655737704</v>
      </c>
      <c r="AC9" s="173">
        <f ca="1">(12*U9)/(Tilmeldingsoversigt!$P$16+Tilmeldingsoversigt!$R$16)</f>
        <v>52.885245901639344</v>
      </c>
      <c r="AD9" s="174">
        <f ca="1">(12*V9)/(Tilmeldingsoversigt!$P$16+Tilmeldingsoversigt!$R$16)</f>
        <v>26.491803278688526</v>
      </c>
    </row>
    <row r="10" spans="3:30" x14ac:dyDescent="0.25">
      <c r="C10" t="s">
        <v>65</v>
      </c>
      <c r="D10">
        <v>6</v>
      </c>
      <c r="F10">
        <v>2025</v>
      </c>
      <c r="G10" s="130">
        <v>45658</v>
      </c>
      <c r="H10" s="130">
        <v>45838</v>
      </c>
      <c r="I10" s="130">
        <v>45839</v>
      </c>
      <c r="L10" s="147" t="s">
        <v>148</v>
      </c>
      <c r="M10" s="148"/>
      <c r="N10" s="184">
        <v>3880</v>
      </c>
      <c r="O10" s="148">
        <v>511</v>
      </c>
      <c r="P10" s="148">
        <v>1678</v>
      </c>
      <c r="Q10" s="148">
        <v>475</v>
      </c>
      <c r="R10" s="148">
        <v>840</v>
      </c>
      <c r="S10" s="148">
        <v>406</v>
      </c>
      <c r="T10" s="149">
        <v>491</v>
      </c>
      <c r="U10" s="149">
        <v>1613</v>
      </c>
      <c r="V10" s="169">
        <v>808</v>
      </c>
      <c r="W10" s="172">
        <f ca="1">(12*O10)/(Tilmeldingsoversigt!$P$16+Tilmeldingsoversigt!$R$16)</f>
        <v>16.754098360655739</v>
      </c>
      <c r="X10" s="173">
        <f ca="1">(12*P10)/(Tilmeldingsoversigt!$P$16+Tilmeldingsoversigt!$R$16)</f>
        <v>55.016393442622949</v>
      </c>
      <c r="Y10" s="173">
        <f ca="1">(12*Q10)/(Tilmeldingsoversigt!$P$16+Tilmeldingsoversigt!$R$16)</f>
        <v>15.573770491803279</v>
      </c>
      <c r="Z10" s="173">
        <f ca="1">(12*R10)/(Tilmeldingsoversigt!$P$16+Tilmeldingsoversigt!$R$16)</f>
        <v>27.540983606557376</v>
      </c>
      <c r="AA10" s="173">
        <f ca="1">(12*S10)/(Tilmeldingsoversigt!$P$16+Tilmeldingsoversigt!$R$16)</f>
        <v>13.311475409836065</v>
      </c>
      <c r="AB10" s="173">
        <f ca="1">(12*T10)/(Tilmeldingsoversigt!$P$16+Tilmeldingsoversigt!$R$16)</f>
        <v>16.098360655737704</v>
      </c>
      <c r="AC10" s="173">
        <f ca="1">(12*U10)/(Tilmeldingsoversigt!$P$16+Tilmeldingsoversigt!$R$16)</f>
        <v>52.885245901639344</v>
      </c>
      <c r="AD10" s="174">
        <f ca="1">(12*V10)/(Tilmeldingsoversigt!$P$16+Tilmeldingsoversigt!$R$16)</f>
        <v>26.491803278688526</v>
      </c>
    </row>
    <row r="11" spans="3:30" x14ac:dyDescent="0.25">
      <c r="C11" t="s">
        <v>66</v>
      </c>
      <c r="D11">
        <v>7</v>
      </c>
      <c r="F11">
        <v>2026</v>
      </c>
      <c r="G11" s="130">
        <v>46023</v>
      </c>
      <c r="H11" s="130">
        <v>46203</v>
      </c>
      <c r="I11" s="130">
        <v>46204</v>
      </c>
      <c r="L11" s="147" t="s">
        <v>124</v>
      </c>
      <c r="M11" s="148">
        <v>3328</v>
      </c>
      <c r="N11" s="184">
        <v>3880</v>
      </c>
      <c r="O11" s="148">
        <f>$N$11*0.25</f>
        <v>970</v>
      </c>
      <c r="P11" s="148">
        <f>$N$11*0.3</f>
        <v>1164</v>
      </c>
      <c r="Q11" s="148"/>
      <c r="R11" s="148">
        <f>$N$11*0.45</f>
        <v>1746</v>
      </c>
      <c r="S11" s="148"/>
      <c r="T11" s="149">
        <f>$M11*0.25</f>
        <v>832</v>
      </c>
      <c r="U11" s="149">
        <f>$M11*0.3</f>
        <v>998.4</v>
      </c>
      <c r="V11" s="169">
        <f>$M11*0.45</f>
        <v>1497.6000000000001</v>
      </c>
      <c r="W11" s="172">
        <f ca="1">(12*O11)/(Tilmeldingsoversigt!$P$16+Tilmeldingsoversigt!$R$16)</f>
        <v>31.803278688524589</v>
      </c>
      <c r="X11" s="173">
        <f ca="1">(12*P11)/(Tilmeldingsoversigt!$P$16+Tilmeldingsoversigt!$R$16)</f>
        <v>38.16393442622951</v>
      </c>
      <c r="Y11" s="178"/>
      <c r="Z11" s="173">
        <f ca="1">(12*R11)/(Tilmeldingsoversigt!$P$16+Tilmeldingsoversigt!$R$16)</f>
        <v>57.245901639344261</v>
      </c>
      <c r="AA11" s="178"/>
      <c r="AB11" s="173">
        <f ca="1">(12*T11)/(Tilmeldingsoversigt!$P$16+Tilmeldingsoversigt!$R$16)</f>
        <v>27.278688524590162</v>
      </c>
      <c r="AC11" s="173">
        <f ca="1">(12*U11)/(Tilmeldingsoversigt!$P$16+Tilmeldingsoversigt!$R$16)</f>
        <v>32.734426229508195</v>
      </c>
      <c r="AD11" s="174">
        <f ca="1">(12*V11)/(Tilmeldingsoversigt!$P$16+Tilmeldingsoversigt!$R$16)</f>
        <v>49.101639344262296</v>
      </c>
    </row>
    <row r="12" spans="3:30" x14ac:dyDescent="0.25">
      <c r="C12" t="s">
        <v>67</v>
      </c>
      <c r="D12">
        <v>8</v>
      </c>
      <c r="F12">
        <v>2027</v>
      </c>
      <c r="G12" s="130">
        <v>46388</v>
      </c>
      <c r="H12" s="130">
        <v>46568</v>
      </c>
      <c r="I12" s="130">
        <v>46569</v>
      </c>
      <c r="L12" s="147" t="s">
        <v>125</v>
      </c>
      <c r="M12" s="148">
        <v>3770</v>
      </c>
      <c r="N12" s="148">
        <v>3880</v>
      </c>
      <c r="O12" s="148">
        <f>$N$11*0.25</f>
        <v>970</v>
      </c>
      <c r="P12" s="148">
        <f>$N$11*0.3</f>
        <v>1164</v>
      </c>
      <c r="Q12" s="148"/>
      <c r="R12" s="148">
        <f>$N$11*0.45</f>
        <v>1746</v>
      </c>
      <c r="S12" s="148"/>
      <c r="T12" s="149">
        <f>$M12*0.25</f>
        <v>942.5</v>
      </c>
      <c r="U12" s="149">
        <f>$M12*0.3</f>
        <v>1131</v>
      </c>
      <c r="V12" s="169">
        <f t="shared" ref="V12:V13" si="0">$M12*0.45</f>
        <v>1696.5</v>
      </c>
      <c r="W12" s="172">
        <f ca="1">(12*O12)/(Tilmeldingsoversigt!$P$16+Tilmeldingsoversigt!$R$16)</f>
        <v>31.803278688524589</v>
      </c>
      <c r="X12" s="173">
        <f ca="1">(12*P12)/(Tilmeldingsoversigt!$P$16+Tilmeldingsoversigt!$R$16)</f>
        <v>38.16393442622951</v>
      </c>
      <c r="Y12" s="178"/>
      <c r="Z12" s="173">
        <f ca="1">(12*R12)/(Tilmeldingsoversigt!$P$16+Tilmeldingsoversigt!$R$16)</f>
        <v>57.245901639344261</v>
      </c>
      <c r="AA12" s="178"/>
      <c r="AB12" s="173">
        <f ca="1">(12*T12)/(Tilmeldingsoversigt!$P$16+Tilmeldingsoversigt!$R$16)</f>
        <v>30.901639344262296</v>
      </c>
      <c r="AC12" s="173">
        <f ca="1">(12*U12)/(Tilmeldingsoversigt!$P$16+Tilmeldingsoversigt!$R$16)</f>
        <v>37.081967213114751</v>
      </c>
      <c r="AD12" s="174">
        <f ca="1">(12*V12)/(Tilmeldingsoversigt!$P$16+Tilmeldingsoversigt!$R$16)</f>
        <v>55.622950819672134</v>
      </c>
    </row>
    <row r="13" spans="3:30" x14ac:dyDescent="0.25">
      <c r="C13" t="s">
        <v>68</v>
      </c>
      <c r="D13">
        <v>9</v>
      </c>
      <c r="F13">
        <v>2028</v>
      </c>
      <c r="G13" s="130">
        <v>46753</v>
      </c>
      <c r="H13" s="130">
        <v>46934</v>
      </c>
      <c r="I13" s="130">
        <v>46935</v>
      </c>
      <c r="L13" s="147" t="s">
        <v>126</v>
      </c>
      <c r="M13" s="148">
        <v>3650</v>
      </c>
      <c r="N13" s="148"/>
      <c r="O13" s="148">
        <f>$N$11*0.25</f>
        <v>970</v>
      </c>
      <c r="P13" s="148">
        <f>$N$11*0.3</f>
        <v>1164</v>
      </c>
      <c r="Q13" s="148"/>
      <c r="R13" s="148">
        <f t="shared" ref="R13" si="1">$N$11*0.45</f>
        <v>1746</v>
      </c>
      <c r="S13" s="148"/>
      <c r="T13" s="149">
        <f>$M13*0.25</f>
        <v>912.5</v>
      </c>
      <c r="U13" s="149">
        <f>$M13*0.3</f>
        <v>1095</v>
      </c>
      <c r="V13" s="169">
        <f t="shared" si="0"/>
        <v>1642.5</v>
      </c>
      <c r="W13" s="172">
        <f ca="1">(12*O13)/(Tilmeldingsoversigt!$P$16+Tilmeldingsoversigt!$R$16)</f>
        <v>31.803278688524589</v>
      </c>
      <c r="X13" s="173">
        <f ca="1">(12*P13)/(Tilmeldingsoversigt!$P$16+Tilmeldingsoversigt!$R$16)</f>
        <v>38.16393442622951</v>
      </c>
      <c r="Y13" s="178"/>
      <c r="Z13" s="173">
        <f ca="1">(12*R13)/(Tilmeldingsoversigt!$P$16+Tilmeldingsoversigt!$R$16)</f>
        <v>57.245901639344261</v>
      </c>
      <c r="AA13" s="178"/>
      <c r="AB13" s="173">
        <f ca="1">(12*T13)/(Tilmeldingsoversigt!$P$16+Tilmeldingsoversigt!$R$16)</f>
        <v>29.918032786885245</v>
      </c>
      <c r="AC13" s="173">
        <f ca="1">(12*U13)/(Tilmeldingsoversigt!$P$16+Tilmeldingsoversigt!$R$16)</f>
        <v>35.901639344262293</v>
      </c>
      <c r="AD13" s="174">
        <f ca="1">(12*V13)/(Tilmeldingsoversigt!$P$16+Tilmeldingsoversigt!$R$16)</f>
        <v>53.852459016393439</v>
      </c>
    </row>
    <row r="14" spans="3:30" x14ac:dyDescent="0.25">
      <c r="C14" t="s">
        <v>69</v>
      </c>
      <c r="D14">
        <v>10</v>
      </c>
      <c r="F14">
        <v>2029</v>
      </c>
      <c r="G14" s="130">
        <v>47119</v>
      </c>
      <c r="H14" s="130">
        <v>47299</v>
      </c>
      <c r="I14" s="130">
        <v>47300</v>
      </c>
      <c r="L14" s="147" t="s">
        <v>127</v>
      </c>
      <c r="M14" s="148">
        <v>2248</v>
      </c>
      <c r="N14" s="148"/>
      <c r="O14" s="148"/>
      <c r="P14" s="148"/>
      <c r="Q14" s="148"/>
      <c r="R14" s="148"/>
      <c r="S14" s="148"/>
      <c r="T14" s="149">
        <f>$M14*0.17</f>
        <v>382.16</v>
      </c>
      <c r="U14" s="149">
        <f>$M14*0.4</f>
        <v>899.2</v>
      </c>
      <c r="V14" s="169">
        <f>$M14*0.43</f>
        <v>966.64</v>
      </c>
      <c r="W14" s="179"/>
      <c r="X14" s="178"/>
      <c r="Y14" s="178"/>
      <c r="Z14" s="178"/>
      <c r="AA14" s="178"/>
      <c r="AB14" s="173">
        <f ca="1">(12*T14)/(Tilmeldingsoversigt!$P$16+Tilmeldingsoversigt!$R$16)</f>
        <v>12.52983606557377</v>
      </c>
      <c r="AC14" s="173">
        <f ca="1">(12*U14)/(Tilmeldingsoversigt!$P$16+Tilmeldingsoversigt!$R$16)</f>
        <v>29.481967213114757</v>
      </c>
      <c r="AD14" s="174">
        <f ca="1">(12*V14)/(Tilmeldingsoversigt!$P$16+Tilmeldingsoversigt!$R$16)</f>
        <v>31.69311475409836</v>
      </c>
    </row>
    <row r="15" spans="3:30" x14ac:dyDescent="0.25">
      <c r="C15" t="s">
        <v>70</v>
      </c>
      <c r="D15">
        <v>11</v>
      </c>
      <c r="F15">
        <v>2030</v>
      </c>
      <c r="G15" s="130">
        <v>47484</v>
      </c>
      <c r="H15" s="130">
        <v>47664</v>
      </c>
      <c r="I15" s="130">
        <v>47665</v>
      </c>
      <c r="L15" s="147" t="s">
        <v>128</v>
      </c>
      <c r="M15" s="148">
        <v>2864</v>
      </c>
      <c r="N15" s="148"/>
      <c r="O15" s="148"/>
      <c r="P15" s="148"/>
      <c r="Q15" s="148"/>
      <c r="R15" s="148"/>
      <c r="S15" s="148"/>
      <c r="T15" s="149">
        <f>$M15*0.23</f>
        <v>658.72</v>
      </c>
      <c r="U15" s="149">
        <f>$M15*0.27</f>
        <v>773.28000000000009</v>
      </c>
      <c r="V15" s="169">
        <f>$M15*0.5</f>
        <v>1432</v>
      </c>
      <c r="W15" s="179"/>
      <c r="X15" s="178"/>
      <c r="Y15" s="178"/>
      <c r="Z15" s="178"/>
      <c r="AA15" s="178"/>
      <c r="AB15" s="173">
        <f ca="1">(12*T15)/(Tilmeldingsoversigt!$P$16+Tilmeldingsoversigt!$R$16)</f>
        <v>21.597377049180327</v>
      </c>
      <c r="AC15" s="173">
        <f ca="1">(12*U15)/(Tilmeldingsoversigt!$P$16+Tilmeldingsoversigt!$R$16)</f>
        <v>25.353442622950823</v>
      </c>
      <c r="AD15" s="174">
        <f ca="1">(12*V15)/(Tilmeldingsoversigt!$P$16+Tilmeldingsoversigt!$R$16)</f>
        <v>46.950819672131146</v>
      </c>
    </row>
    <row r="16" spans="3:30" x14ac:dyDescent="0.25">
      <c r="C16" t="s">
        <v>71</v>
      </c>
      <c r="D16">
        <v>12</v>
      </c>
      <c r="L16" s="147" t="s">
        <v>129</v>
      </c>
      <c r="M16" s="148">
        <v>1322</v>
      </c>
      <c r="N16" s="148"/>
      <c r="O16" s="148"/>
      <c r="P16" s="148"/>
      <c r="Q16" s="148"/>
      <c r="R16" s="148"/>
      <c r="S16" s="148"/>
      <c r="T16" s="149">
        <f>$M16*0.18</f>
        <v>237.95999999999998</v>
      </c>
      <c r="U16" s="149">
        <f>$M16*0.22</f>
        <v>290.83999999999997</v>
      </c>
      <c r="V16" s="169">
        <f>$M16*0.6</f>
        <v>793.19999999999993</v>
      </c>
      <c r="W16" s="179"/>
      <c r="X16" s="178"/>
      <c r="Y16" s="178"/>
      <c r="Z16" s="178"/>
      <c r="AA16" s="178"/>
      <c r="AB16" s="173">
        <f ca="1">(12*T16)/(Tilmeldingsoversigt!$P$16+Tilmeldingsoversigt!$R$16)</f>
        <v>7.8019672131147528</v>
      </c>
      <c r="AC16" s="173">
        <f ca="1">(12*U16)/(Tilmeldingsoversigt!$P$16+Tilmeldingsoversigt!$R$16)</f>
        <v>9.5357377049180325</v>
      </c>
      <c r="AD16" s="174">
        <f ca="1">(12*V16)/(Tilmeldingsoversigt!$P$16+Tilmeldingsoversigt!$R$16)</f>
        <v>26.00655737704918</v>
      </c>
    </row>
    <row r="17" spans="3:30" x14ac:dyDescent="0.25">
      <c r="L17" s="147" t="s">
        <v>130</v>
      </c>
      <c r="M17" s="148">
        <v>2541</v>
      </c>
      <c r="N17" s="148"/>
      <c r="O17" s="148"/>
      <c r="P17" s="148"/>
      <c r="Q17" s="148"/>
      <c r="R17" s="148"/>
      <c r="S17" s="148"/>
      <c r="T17" s="149">
        <f>$M17*0.21</f>
        <v>533.61</v>
      </c>
      <c r="U17" s="149">
        <f>$M17*0.23</f>
        <v>584.43000000000006</v>
      </c>
      <c r="V17" s="169">
        <f>$M17*0.56</f>
        <v>1422.96</v>
      </c>
      <c r="W17" s="179"/>
      <c r="X17" s="178"/>
      <c r="Y17" s="178"/>
      <c r="Z17" s="178"/>
      <c r="AA17" s="178"/>
      <c r="AB17" s="173">
        <f ca="1">(12*T17)/(Tilmeldingsoversigt!$P$16+Tilmeldingsoversigt!$R$16)</f>
        <v>17.495409836065573</v>
      </c>
      <c r="AC17" s="173">
        <f ca="1">(12*U17)/(Tilmeldingsoversigt!$P$16+Tilmeldingsoversigt!$R$16)</f>
        <v>19.161639344262298</v>
      </c>
      <c r="AD17" s="174">
        <f ca="1">(12*V17)/(Tilmeldingsoversigt!$P$16+Tilmeldingsoversigt!$R$16)</f>
        <v>46.654426229508196</v>
      </c>
    </row>
    <row r="18" spans="3:30" ht="15.75" thickBot="1" x14ac:dyDescent="0.3">
      <c r="L18" s="147" t="s">
        <v>131</v>
      </c>
      <c r="M18" s="148">
        <v>1584</v>
      </c>
      <c r="N18" s="148"/>
      <c r="O18" s="148"/>
      <c r="P18" s="148"/>
      <c r="Q18" s="148"/>
      <c r="R18" s="148"/>
      <c r="S18" s="148"/>
      <c r="T18" s="149">
        <f>$M18*0.32</f>
        <v>506.88</v>
      </c>
      <c r="U18" s="149">
        <v>0</v>
      </c>
      <c r="V18" s="169">
        <f>$M18*0.68</f>
        <v>1077.1200000000001</v>
      </c>
      <c r="W18" s="170"/>
      <c r="X18" s="171"/>
      <c r="Y18" s="171"/>
      <c r="Z18" s="171"/>
      <c r="AA18" s="171"/>
      <c r="AB18" s="175">
        <f ca="1">(12*T18)/(Tilmeldingsoversigt!$P$16+Tilmeldingsoversigt!$R$16)</f>
        <v>16.619016393442621</v>
      </c>
      <c r="AC18" s="175">
        <f ca="1">(12*U18)/(Tilmeldingsoversigt!$P$16+Tilmeldingsoversigt!$R$16)</f>
        <v>0</v>
      </c>
      <c r="AD18" s="180">
        <f ca="1">(12*V18)/(Tilmeldingsoversigt!$P$16+Tilmeldingsoversigt!$R$16)</f>
        <v>35.315409836065577</v>
      </c>
    </row>
    <row r="19" spans="3:30" ht="21" customHeight="1" x14ac:dyDescent="0.25">
      <c r="C19" t="s">
        <v>138</v>
      </c>
      <c r="D19" t="s">
        <v>80</v>
      </c>
      <c r="E19" s="195" t="s">
        <v>150</v>
      </c>
      <c r="F19" s="195"/>
      <c r="L19">
        <v>1</v>
      </c>
      <c r="M19">
        <v>2</v>
      </c>
      <c r="N19">
        <v>3</v>
      </c>
      <c r="O19">
        <v>4</v>
      </c>
      <c r="P19">
        <v>5</v>
      </c>
      <c r="Q19">
        <v>6</v>
      </c>
      <c r="R19">
        <v>7</v>
      </c>
      <c r="S19">
        <v>8</v>
      </c>
      <c r="T19">
        <v>9</v>
      </c>
      <c r="U19">
        <v>10</v>
      </c>
      <c r="V19">
        <v>11</v>
      </c>
      <c r="W19">
        <v>12</v>
      </c>
      <c r="X19">
        <v>13</v>
      </c>
      <c r="Y19">
        <v>14</v>
      </c>
      <c r="Z19">
        <v>15</v>
      </c>
      <c r="AA19">
        <v>16</v>
      </c>
      <c r="AB19">
        <v>17</v>
      </c>
      <c r="AC19">
        <v>18</v>
      </c>
      <c r="AD19">
        <v>19</v>
      </c>
    </row>
    <row r="20" spans="3:30" x14ac:dyDescent="0.25">
      <c r="C20" t="s">
        <v>149</v>
      </c>
    </row>
    <row r="21" spans="3:30" x14ac:dyDescent="0.25">
      <c r="C21" s="160" t="str">
        <f>IF(Betalingsopgørelse!C7=L5,"Vinduespolering 2 gange årligt",IF(Betalingsopgørelse!C7=L6,"Vinduespolering 2 gange årligt",IF(Betalingsopgørelse!C7=L7,"Vinduespolering 2 gange årligt",IF(Betalingsopgørelse!C7=L8,"Vinduespolering 2 gange årligt",IF(Betalingsopgørelse!C7=L9,"Vinduespolering 2 gange årligt",IF(Betalingsopgørelse!C7=L10,"Vinduespolering 2 gange årligt",C20))))))</f>
        <v>Vinduespolering 2 gange årligt</v>
      </c>
      <c r="D21">
        <v>4</v>
      </c>
    </row>
    <row r="22" spans="3:30" x14ac:dyDescent="0.25">
      <c r="C22" s="160" t="str">
        <f>IF(Betalingsopgørelse!C7=L5,"Rengøringsartikler",IF(Betalingsopgørelse!C7=L6,"Rengøringsartikler",IF(Betalingsopgørelse!C7=L7,"Rengøringsartikler",IF(Betalingsopgørelse!C7=L8,"Rengøringsartikler",IF(Betalingsopgørelse!C7=L9,"Rengøringsartikler",IF(Betalingsopgørelse!C7=L10,"Rengøringsartikler",C20))))))</f>
        <v>Rengøringsartikler</v>
      </c>
      <c r="D22">
        <v>132</v>
      </c>
    </row>
    <row r="24" spans="3:30" x14ac:dyDescent="0.25">
      <c r="C24" t="s">
        <v>139</v>
      </c>
      <c r="D24" t="s">
        <v>80</v>
      </c>
    </row>
    <row r="26" spans="3:30" ht="45" x14ac:dyDescent="0.25">
      <c r="C26" s="161" t="str">
        <f>IF(Betalingsopgørelse!C7=L5,C29,IF(Betalingsopgørelse!C7=L6,C29,IF(Betalingsopgørelse!C7=L7,C29,IF(Betalingsopgørelse!C7=L8,C29,IF(Betalingsopgørelse!C7=L9,C29,IF(Betalingsopgørelse!C7=L10,C29,C20))))))</f>
        <v>Vask og leje af linned, håndklæder samt vask og små reparation af eget tøj</v>
      </c>
      <c r="D26" s="162">
        <v>258</v>
      </c>
    </row>
    <row r="27" spans="3:30" x14ac:dyDescent="0.25">
      <c r="E27" s="195"/>
      <c r="F27" s="195"/>
    </row>
    <row r="28" spans="3:30" ht="22.5" customHeight="1" x14ac:dyDescent="0.25"/>
    <row r="29" spans="3:30" ht="45" x14ac:dyDescent="0.25">
      <c r="C29" s="185" t="s">
        <v>7</v>
      </c>
    </row>
  </sheetData>
  <mergeCells count="23">
    <mergeCell ref="E19:F19"/>
    <mergeCell ref="E27:F27"/>
    <mergeCell ref="AB2:AB4"/>
    <mergeCell ref="AC2:AC4"/>
    <mergeCell ref="AD2:AD4"/>
    <mergeCell ref="S2:S4"/>
    <mergeCell ref="T2:T4"/>
    <mergeCell ref="U2:U4"/>
    <mergeCell ref="V2:V4"/>
    <mergeCell ref="W1:AD1"/>
    <mergeCell ref="W2:W4"/>
    <mergeCell ref="X2:X4"/>
    <mergeCell ref="Y2:Y4"/>
    <mergeCell ref="Z2:Z4"/>
    <mergeCell ref="AA2:AA4"/>
    <mergeCell ref="M1:S1"/>
    <mergeCell ref="T1:V1"/>
    <mergeCell ref="M2:M4"/>
    <mergeCell ref="N2:N4"/>
    <mergeCell ref="O2:O4"/>
    <mergeCell ref="P2:P4"/>
    <mergeCell ref="Q2:Q4"/>
    <mergeCell ref="R2:R4"/>
  </mergeCells>
  <phoneticPr fontId="32" type="noConversion"/>
  <pageMargins left="0.7" right="0.7" top="0.75" bottom="0.75" header="0.3" footer="0.3"/>
  <pageSetup paperSize="9" orientation="landscape" r:id="rId1"/>
  <tableParts count="4">
    <tablePart r:id="rId2"/>
    <tablePart r:id="rId3"/>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tabColor theme="4"/>
    <pageSetUpPr autoPageBreaks="0" fitToPage="1"/>
  </sheetPr>
  <dimension ref="A1:I43"/>
  <sheetViews>
    <sheetView showGridLines="0" tabSelected="1" topLeftCell="A10" zoomScale="90" zoomScaleNormal="90" workbookViewId="0">
      <selection activeCell="H29" sqref="H29"/>
    </sheetView>
  </sheetViews>
  <sheetFormatPr defaultColWidth="9.140625" defaultRowHeight="30" customHeight="1" x14ac:dyDescent="0.25"/>
  <cols>
    <col min="1" max="1" width="2.7109375" style="1" customWidth="1"/>
    <col min="2" max="2" width="30.140625" style="1" customWidth="1"/>
    <col min="3" max="3" width="16.7109375" style="1" customWidth="1"/>
    <col min="4" max="4" width="18.5703125" style="1" customWidth="1"/>
    <col min="5" max="9" width="16.7109375" style="1" customWidth="1"/>
    <col min="10" max="10" width="14.7109375" style="1" customWidth="1"/>
    <col min="11" max="11" width="0" style="1" hidden="1" customWidth="1"/>
    <col min="12" max="16384" width="9.140625" style="1"/>
  </cols>
  <sheetData>
    <row r="1" spans="2:8" ht="39" customHeight="1" x14ac:dyDescent="0.25">
      <c r="B1" s="201" t="s">
        <v>108</v>
      </c>
      <c r="C1" s="201"/>
      <c r="D1" s="201"/>
      <c r="E1" s="201"/>
      <c r="F1" s="201"/>
      <c r="G1" s="201"/>
      <c r="H1" s="201"/>
    </row>
    <row r="2" spans="2:8" ht="30" customHeight="1" x14ac:dyDescent="0.35">
      <c r="B2" s="10" t="s">
        <v>12</v>
      </c>
      <c r="C2" s="204" t="s">
        <v>141</v>
      </c>
      <c r="D2" s="205"/>
      <c r="E2" s="205"/>
      <c r="F2" s="205"/>
      <c r="G2" s="205"/>
      <c r="H2" s="206"/>
    </row>
    <row r="3" spans="2:8" ht="30" customHeight="1" x14ac:dyDescent="0.35">
      <c r="B3" s="2" t="s">
        <v>58</v>
      </c>
      <c r="C3" s="204" t="s">
        <v>141</v>
      </c>
      <c r="D3" s="205"/>
      <c r="E3" s="205"/>
      <c r="F3" s="205"/>
      <c r="G3" s="205"/>
      <c r="H3" s="206"/>
    </row>
    <row r="4" spans="2:8" ht="30" customHeight="1" x14ac:dyDescent="0.35">
      <c r="B4" s="2" t="s">
        <v>3</v>
      </c>
      <c r="C4" s="204"/>
      <c r="D4" s="205"/>
      <c r="E4" s="205"/>
      <c r="F4" s="205"/>
      <c r="G4" s="205"/>
      <c r="H4" s="206"/>
    </row>
    <row r="5" spans="2:8" ht="30" customHeight="1" x14ac:dyDescent="0.35">
      <c r="B5" s="2" t="s">
        <v>29</v>
      </c>
      <c r="C5" s="207"/>
      <c r="D5" s="208"/>
      <c r="E5" s="208"/>
      <c r="F5" s="208"/>
      <c r="G5" s="208"/>
      <c r="H5" s="209"/>
    </row>
    <row r="6" spans="2:8" ht="67.5" customHeight="1" x14ac:dyDescent="0.35">
      <c r="B6" s="117" t="s">
        <v>116</v>
      </c>
      <c r="C6" s="131" t="s">
        <v>60</v>
      </c>
      <c r="D6" s="118">
        <v>2024</v>
      </c>
      <c r="E6" s="117" t="s">
        <v>117</v>
      </c>
      <c r="F6" s="131" t="s">
        <v>71</v>
      </c>
      <c r="G6" s="118">
        <v>2024</v>
      </c>
      <c r="H6" s="118"/>
    </row>
    <row r="7" spans="2:8" ht="34.5" customHeight="1" x14ac:dyDescent="0.35">
      <c r="B7" s="117" t="s">
        <v>123</v>
      </c>
      <c r="C7" s="197" t="s">
        <v>146</v>
      </c>
      <c r="D7" s="197"/>
      <c r="F7" s="42"/>
      <c r="G7" s="42"/>
      <c r="H7" s="146">
        <f>1+VLOOKUP(slut_måned,Måneder[#All],2,FALSE)-VLOOKUP(start_måned,Måneder[],2,FALSE)</f>
        <v>12</v>
      </c>
    </row>
    <row r="8" spans="2:8" ht="24.95" customHeight="1" x14ac:dyDescent="0.25">
      <c r="B8" s="212" t="s">
        <v>75</v>
      </c>
      <c r="C8" s="213"/>
      <c r="D8" s="213"/>
      <c r="E8" s="213"/>
      <c r="F8" s="213"/>
      <c r="G8" s="214"/>
      <c r="H8" s="28" t="s">
        <v>74</v>
      </c>
    </row>
    <row r="9" spans="2:8" ht="24.95" customHeight="1" x14ac:dyDescent="0.25">
      <c r="B9" s="210" t="s">
        <v>76</v>
      </c>
      <c r="C9" s="211"/>
      <c r="D9" s="211"/>
      <c r="E9" s="211"/>
      <c r="F9" s="211"/>
      <c r="G9" s="211"/>
      <c r="H9" s="46"/>
    </row>
    <row r="10" spans="2:8" ht="24" customHeight="1" x14ac:dyDescent="0.25">
      <c r="B10" s="210" t="s">
        <v>137</v>
      </c>
      <c r="C10" s="211"/>
      <c r="D10" s="211"/>
      <c r="E10" s="211"/>
      <c r="F10" s="211"/>
      <c r="G10" s="211"/>
      <c r="H10" s="46"/>
    </row>
    <row r="11" spans="2:8" ht="24.95" customHeight="1" x14ac:dyDescent="0.35">
      <c r="B11" s="15"/>
      <c r="C11" s="43"/>
      <c r="D11" s="43"/>
      <c r="E11" s="43"/>
      <c r="F11" s="43"/>
      <c r="G11" s="43"/>
      <c r="H11" s="43"/>
    </row>
    <row r="12" spans="2:8" s="181" customFormat="1" ht="24.95" customHeight="1" x14ac:dyDescent="0.25">
      <c r="B12" s="215" t="s">
        <v>77</v>
      </c>
      <c r="C12" s="216"/>
      <c r="D12" s="216"/>
      <c r="E12" s="216"/>
      <c r="F12" s="216"/>
      <c r="G12" s="216"/>
      <c r="H12" s="182" t="s">
        <v>74</v>
      </c>
    </row>
    <row r="13" spans="2:8" s="181" customFormat="1" ht="24.95" customHeight="1" x14ac:dyDescent="0.25">
      <c r="B13" s="210" t="s">
        <v>78</v>
      </c>
      <c r="C13" s="211"/>
      <c r="D13" s="211"/>
      <c r="E13" s="211"/>
      <c r="F13" s="211"/>
      <c r="G13" s="211"/>
      <c r="H13" s="183" t="s">
        <v>93</v>
      </c>
    </row>
    <row r="14" spans="2:8" s="181" customFormat="1" ht="24.95" customHeight="1" x14ac:dyDescent="0.25">
      <c r="B14" s="210" t="s">
        <v>79</v>
      </c>
      <c r="C14" s="211"/>
      <c r="D14" s="211"/>
      <c r="E14" s="211"/>
      <c r="F14" s="211"/>
      <c r="G14" s="211"/>
      <c r="H14" s="183"/>
    </row>
    <row r="15" spans="2:8" ht="15" customHeight="1" x14ac:dyDescent="0.35">
      <c r="B15" s="16"/>
      <c r="C15" s="16"/>
      <c r="D15" s="16"/>
      <c r="E15" s="16"/>
      <c r="F15" s="16"/>
      <c r="G15" s="16"/>
      <c r="H15" s="16"/>
    </row>
    <row r="16" spans="2:8" ht="24.95" customHeight="1" x14ac:dyDescent="0.35">
      <c r="B16" s="17" t="s">
        <v>14</v>
      </c>
      <c r="C16" s="16" t="s">
        <v>6</v>
      </c>
      <c r="D16" s="16" t="s">
        <v>5</v>
      </c>
      <c r="E16" s="16" t="s">
        <v>30</v>
      </c>
      <c r="F16" s="16" t="s">
        <v>4</v>
      </c>
      <c r="G16" s="44" t="s">
        <v>80</v>
      </c>
      <c r="H16" s="45" t="s">
        <v>81</v>
      </c>
    </row>
    <row r="17" spans="1:9" ht="24.95" customHeight="1" x14ac:dyDescent="0.35">
      <c r="B17" s="18" t="str">
        <f>IF(C7=Dataark!L5,Dataark!C21,IF(C7=Dataark!L6,Dataark!C21,IF(C7=Dataark!L7,Dataark!C21,IF(C7=Dataark!L8,Dataark!C21,IF(C7=Dataark!L9,Dataark!C21,IF(C7=Dataark!L10,Dataark!C21,Dataark!C21))))))</f>
        <v>Vinduespolering 2 gange årligt</v>
      </c>
      <c r="C17" s="23"/>
      <c r="D17" s="23"/>
      <c r="E17" s="24"/>
      <c r="F17" s="25"/>
      <c r="G17" s="25"/>
      <c r="H17" s="186">
        <f>VLOOKUP(B17,Dataark!$C$20:$D$22,2,FALSE)</f>
        <v>4</v>
      </c>
    </row>
    <row r="18" spans="1:9" ht="24.95" customHeight="1" x14ac:dyDescent="0.35">
      <c r="B18" s="18" t="str">
        <f>IF(C7=Dataark!L5,Dataark!C22,IF(C7=Dataark!L6,Dataark!C22,IF(C7=Dataark!L7,Dataark!C22,IF(C7=Dataark!L8,Dataark!C22,IF(C7=Dataark!L9,Dataark!C22,IF(C7=Dataark!L10,Dataark!C22,Dataark!C22))))))</f>
        <v>Rengøringsartikler</v>
      </c>
      <c r="C18" s="19"/>
      <c r="D18" s="23"/>
      <c r="E18" s="24"/>
      <c r="F18" s="25"/>
      <c r="G18" s="25"/>
      <c r="H18" s="186" t="s">
        <v>152</v>
      </c>
    </row>
    <row r="19" spans="1:9" ht="24.95" customHeight="1" x14ac:dyDescent="0.35">
      <c r="B19" s="19"/>
      <c r="C19" s="19"/>
      <c r="D19" s="19"/>
      <c r="E19" s="19"/>
      <c r="F19" s="19"/>
      <c r="G19" s="20" t="s">
        <v>1</v>
      </c>
      <c r="H19" s="21" t="s">
        <v>153</v>
      </c>
    </row>
    <row r="20" spans="1:9" ht="24.95" customHeight="1" x14ac:dyDescent="0.35">
      <c r="B20" s="16"/>
      <c r="C20" s="16"/>
      <c r="D20" s="16"/>
      <c r="E20" s="16"/>
      <c r="F20" s="16"/>
      <c r="G20" s="16"/>
      <c r="H20" s="16"/>
    </row>
    <row r="21" spans="1:9" ht="24.95" customHeight="1" x14ac:dyDescent="0.35">
      <c r="B21" s="115" t="s">
        <v>13</v>
      </c>
      <c r="C21" s="116" t="s">
        <v>6</v>
      </c>
      <c r="D21" s="16" t="s">
        <v>5</v>
      </c>
      <c r="E21" s="16" t="s">
        <v>30</v>
      </c>
      <c r="F21" s="16" t="s">
        <v>4</v>
      </c>
      <c r="G21" s="44" t="s">
        <v>80</v>
      </c>
      <c r="H21" s="45" t="s">
        <v>81</v>
      </c>
    </row>
    <row r="22" spans="1:9" ht="24.95" customHeight="1" x14ac:dyDescent="0.35">
      <c r="B22" s="22" t="str">
        <f>IF(COUNTA(H9)=1,"Madserviceydelser (se bagside for detaljer)","")</f>
        <v/>
      </c>
      <c r="C22" s="19"/>
      <c r="D22" s="23"/>
      <c r="E22" s="24"/>
      <c r="F22" s="25"/>
      <c r="G22" s="25" t="str">
        <f>IF(Tilmeldingsoversigt!J8=1,Tilmeldingsoversigt!G16," ")</f>
        <v xml:space="preserve"> </v>
      </c>
      <c r="H22" s="26" t="str">
        <f>IF(OR(COUNTA(H9)=1,COUNTA(H10)=1),(Tilmeldingsoversigt!I29+Tilmeldingsoversigt!I36)/aktive_måneder,"")</f>
        <v/>
      </c>
    </row>
    <row r="23" spans="1:9" ht="24.95" customHeight="1" x14ac:dyDescent="0.35">
      <c r="B23" s="104" t="str">
        <f>IF(AND(ISBLANK(B24),ISBLANK(B25)),"","Herunder inkluderet i samlet betaling for kost:")</f>
        <v>Herunder inkluderet i samlet betaling for kost:</v>
      </c>
      <c r="C23" s="19"/>
      <c r="D23" s="23"/>
      <c r="E23" s="24"/>
      <c r="F23" s="25"/>
      <c r="G23" s="25" t="str">
        <f>IF(Tilmeldingsoversigt!J9=1,Tilmeldingsoversigt!G17," ")</f>
        <v xml:space="preserve"> </v>
      </c>
      <c r="H23" s="26" t="s">
        <v>155</v>
      </c>
    </row>
    <row r="24" spans="1:9" ht="24.95" customHeight="1" x14ac:dyDescent="0.35">
      <c r="B24" s="114" t="str">
        <f>IF(AND(H9="x",Tilmeldingsoversigt!$J$10&gt;=1),Tilmeldingsoversigt!B10," ")</f>
        <v xml:space="preserve"> </v>
      </c>
      <c r="C24" s="19"/>
      <c r="D24" s="23"/>
      <c r="E24" s="24"/>
      <c r="F24" s="25"/>
      <c r="G24" s="110" t="str">
        <f>IF(AND(H9="x",Tilmeldingsoversigt!$J$10&gt;=1),Tilmeldingsoversigt!E18," ")</f>
        <v xml:space="preserve"> </v>
      </c>
      <c r="H24" s="26"/>
    </row>
    <row r="25" spans="1:9" ht="24.95" customHeight="1" x14ac:dyDescent="0.35">
      <c r="B25" s="113" t="str">
        <f>IF(AND(H9="x",Tilmeldingsoversigt!$J$11=1),mellemmåltid," ")</f>
        <v xml:space="preserve"> </v>
      </c>
      <c r="C25" s="19"/>
      <c r="D25" s="23"/>
      <c r="E25" s="24"/>
      <c r="F25" s="25"/>
      <c r="G25" s="25" t="str">
        <f>IF(AND(H9="x",Tilmeldingsoversigt!$J$11=1),Tilmeldingsoversigt!E19," ")</f>
        <v xml:space="preserve"> </v>
      </c>
      <c r="H25" s="25"/>
      <c r="I25" s="16"/>
    </row>
    <row r="26" spans="1:9" ht="24.95" customHeight="1" x14ac:dyDescent="0.35">
      <c r="B26" s="105"/>
      <c r="C26" s="19"/>
      <c r="D26" s="23"/>
      <c r="E26" s="24"/>
      <c r="F26" s="25"/>
      <c r="G26" s="106"/>
      <c r="H26" s="26" t="str">
        <f>IF(Data2[[#This Row],[   ]]&gt;0,Data2[[#This Row],[   ]]-Data2[[#This Row],[Pris]],"")</f>
        <v/>
      </c>
      <c r="I26" s="16"/>
    </row>
    <row r="27" spans="1:9" ht="24.95" customHeight="1" x14ac:dyDescent="0.35">
      <c r="B27" s="18" t="str">
        <f>IF(C7=Dataark!L5,Dataark!C26,IF(C7=Dataark!L6,Dataark!C26,IF(C7=Dataark!L7,Dataark!C26,IF(C7=Dataark!L8,Dataark!C26,IF(C7=Dataark!L9,Dataark!C26,IF(C7=Dataark!L10,Dataark!C26,Dataark!C20))))))</f>
        <v>Vask og leje af linned, håndklæder samt vask og små reparation af eget tøj</v>
      </c>
      <c r="C27" s="19"/>
      <c r="D27" s="23"/>
      <c r="E27" s="24"/>
      <c r="F27" s="25"/>
      <c r="G27" s="25"/>
      <c r="H27" s="186" t="s">
        <v>154</v>
      </c>
      <c r="I27" s="16"/>
    </row>
    <row r="28" spans="1:9" ht="63" customHeight="1" x14ac:dyDescent="0.35">
      <c r="B28" s="19" t="s">
        <v>8</v>
      </c>
      <c r="C28" s="19"/>
      <c r="D28" s="19"/>
      <c r="E28" s="19"/>
      <c r="F28" s="19"/>
      <c r="G28" s="20" t="s">
        <v>1</v>
      </c>
      <c r="H28" s="21" t="s">
        <v>156</v>
      </c>
      <c r="I28" s="16"/>
    </row>
    <row r="29" spans="1:9" ht="45.95" customHeight="1" x14ac:dyDescent="0.35">
      <c r="B29" s="217" t="s">
        <v>151</v>
      </c>
      <c r="C29" s="217"/>
      <c r="D29" s="16"/>
      <c r="E29" s="16"/>
      <c r="F29" s="16"/>
      <c r="G29" s="16"/>
      <c r="H29" s="16"/>
      <c r="I29" s="16"/>
    </row>
    <row r="30" spans="1:9" ht="30" customHeight="1" x14ac:dyDescent="0.35">
      <c r="B30" s="39" t="s">
        <v>87</v>
      </c>
      <c r="C30" s="39"/>
      <c r="D30" s="39"/>
      <c r="E30" s="39"/>
      <c r="F30" s="39"/>
      <c r="G30" s="39"/>
      <c r="H30" s="39"/>
      <c r="I30" s="16"/>
    </row>
    <row r="31" spans="1:9" ht="39" customHeight="1" x14ac:dyDescent="0.35">
      <c r="A31" s="38"/>
      <c r="B31" s="198" t="s">
        <v>88</v>
      </c>
      <c r="C31" s="199"/>
      <c r="D31" s="199"/>
      <c r="E31" s="199"/>
      <c r="F31" s="199"/>
      <c r="G31" s="199"/>
      <c r="H31" s="200"/>
      <c r="I31" s="16"/>
    </row>
    <row r="32" spans="1:9" ht="30" customHeight="1" x14ac:dyDescent="0.35">
      <c r="B32" s="39" t="s">
        <v>89</v>
      </c>
      <c r="C32" s="39"/>
      <c r="D32" s="39"/>
      <c r="E32" s="39"/>
      <c r="F32" s="39"/>
      <c r="G32" s="39"/>
      <c r="H32" s="39"/>
      <c r="I32" s="16"/>
    </row>
    <row r="33" spans="2:9" ht="84" customHeight="1" x14ac:dyDescent="0.35">
      <c r="B33" s="198" t="s">
        <v>104</v>
      </c>
      <c r="C33" s="199"/>
      <c r="D33" s="199"/>
      <c r="E33" s="199"/>
      <c r="F33" s="199"/>
      <c r="G33" s="199"/>
      <c r="H33" s="200"/>
      <c r="I33" s="16"/>
    </row>
    <row r="34" spans="2:9" ht="168.95" customHeight="1" x14ac:dyDescent="0.35">
      <c r="B34" s="218" t="s">
        <v>0</v>
      </c>
      <c r="C34" s="218"/>
      <c r="D34" s="27" t="s">
        <v>10</v>
      </c>
      <c r="E34" s="203"/>
      <c r="F34" s="203"/>
      <c r="G34" s="203"/>
      <c r="H34" s="203"/>
    </row>
    <row r="35" spans="2:9" ht="15" customHeight="1" x14ac:dyDescent="0.35">
      <c r="B35" s="103"/>
      <c r="C35" s="16"/>
      <c r="D35" s="16"/>
      <c r="E35" s="16"/>
      <c r="F35" s="16"/>
      <c r="G35" s="16"/>
      <c r="H35" s="16"/>
    </row>
    <row r="36" spans="2:9" ht="28.5" hidden="1" customHeight="1" x14ac:dyDescent="0.25">
      <c r="B36" s="202" t="s">
        <v>9</v>
      </c>
      <c r="C36" s="202"/>
      <c r="D36" s="202"/>
      <c r="E36" s="202"/>
      <c r="F36" s="202"/>
      <c r="G36" s="202"/>
      <c r="H36" s="202"/>
    </row>
    <row r="37" spans="2:9" ht="45.75" hidden="1" customHeight="1" x14ac:dyDescent="0.35">
      <c r="B37" s="219" t="s">
        <v>12</v>
      </c>
      <c r="C37" s="219"/>
      <c r="D37" s="27" t="s">
        <v>12</v>
      </c>
      <c r="E37" s="221"/>
      <c r="F37" s="221"/>
      <c r="G37" s="221"/>
      <c r="H37" s="221"/>
    </row>
    <row r="38" spans="2:9" ht="30" hidden="1" customHeight="1" x14ac:dyDescent="0.35">
      <c r="B38" s="111" t="s">
        <v>11</v>
      </c>
      <c r="C38" s="112"/>
      <c r="D38" s="27" t="s">
        <v>11</v>
      </c>
      <c r="E38" s="112"/>
      <c r="F38" s="112"/>
      <c r="G38" s="112"/>
      <c r="H38" s="112"/>
    </row>
    <row r="39" spans="2:9" ht="30" hidden="1" customHeight="1" x14ac:dyDescent="0.35">
      <c r="B39" s="220" t="s">
        <v>59</v>
      </c>
      <c r="C39" s="220"/>
      <c r="D39" s="47" t="s">
        <v>59</v>
      </c>
      <c r="E39" s="222"/>
      <c r="F39" s="222"/>
      <c r="G39" s="222"/>
      <c r="H39" s="222"/>
    </row>
    <row r="40" spans="2:9" ht="30" customHeight="1" x14ac:dyDescent="0.25">
      <c r="B40" s="4"/>
    </row>
    <row r="41" spans="2:9" ht="30" customHeight="1" x14ac:dyDescent="0.25">
      <c r="B41" s="4"/>
    </row>
    <row r="42" spans="2:9" ht="30" customHeight="1" x14ac:dyDescent="0.25">
      <c r="B42" s="4"/>
    </row>
    <row r="43" spans="2:9" ht="30" customHeight="1" x14ac:dyDescent="0.25">
      <c r="B43" s="3"/>
    </row>
  </sheetData>
  <sheetProtection selectLockedCells="1"/>
  <mergeCells count="22">
    <mergeCell ref="B29:C29"/>
    <mergeCell ref="B34:C34"/>
    <mergeCell ref="B37:C37"/>
    <mergeCell ref="B39:C39"/>
    <mergeCell ref="E37:H37"/>
    <mergeCell ref="E39:H39"/>
    <mergeCell ref="C7:D7"/>
    <mergeCell ref="B31:H31"/>
    <mergeCell ref="B33:H33"/>
    <mergeCell ref="B1:H1"/>
    <mergeCell ref="B36:H36"/>
    <mergeCell ref="E34:H34"/>
    <mergeCell ref="C2:H2"/>
    <mergeCell ref="C3:H3"/>
    <mergeCell ref="C4:H4"/>
    <mergeCell ref="C5:H5"/>
    <mergeCell ref="B9:G9"/>
    <mergeCell ref="B10:G10"/>
    <mergeCell ref="B8:G8"/>
    <mergeCell ref="B12:G12"/>
    <mergeCell ref="B13:G13"/>
    <mergeCell ref="B14:G14"/>
  </mergeCells>
  <dataValidations xWindow="970" yWindow="467" count="1">
    <dataValidation allowBlank="1" showInputMessage="1" showErrorMessage="1" prompt="Brug dette regneark til at oprette en Faktureringsopgørelse. Angiv firmaoplysninger, en faktureringsopgørelse og fakturaoplysninger. Skyldigt beløb beregnes automatisk" sqref="A2" xr:uid="{00000000-0002-0000-0000-000000000000}"/>
  </dataValidations>
  <pageMargins left="0.44" right="0.54" top="0.74803149606299213" bottom="0.74803149606299213" header="0.31496062992125984" footer="0.31496062992125984"/>
  <pageSetup paperSize="9" scale="61" orientation="portrait" r:id="rId1"/>
  <headerFooter>
    <oddHeader>&amp;R&amp;G</oddHeader>
  </headerFooter>
  <drawing r:id="rId2"/>
  <legacyDrawingHF r:id="rId3"/>
  <tableParts count="2">
    <tablePart r:id="rId4"/>
    <tablePart r:id="rId5"/>
  </tableParts>
  <extLst>
    <ext xmlns:x14="http://schemas.microsoft.com/office/spreadsheetml/2009/9/main" uri="{78C0D931-6437-407d-A8EE-F0AAD7539E65}">
      <x14:conditionalFormattings>
        <x14:conditionalFormatting xmlns:xm="http://schemas.microsoft.com/office/excel/2006/main">
          <x14:cfRule type="expression" priority="21" id="{B634B6C8-06E1-4F5C-9004-AB1F83174ECF}">
            <xm:f>$C$7=Dataark!$L$15</xm:f>
            <x14:dxf>
              <font>
                <color theme="0"/>
              </font>
            </x14:dxf>
          </x14:cfRule>
          <x14:cfRule type="expression" priority="22" id="{A38718D3-2927-44C9-8C4E-78755A729C87}">
            <xm:f>$C$7=Dataark!$L$16</xm:f>
            <x14:dxf>
              <font>
                <color theme="0"/>
              </font>
            </x14:dxf>
          </x14:cfRule>
          <x14:cfRule type="expression" priority="23" id="{EC4C3AEF-9A14-464D-A53E-6FDB537F5955}">
            <xm:f>$C$7=Dataark!$L$17</xm:f>
            <x14:dxf>
              <font>
                <color theme="0"/>
              </font>
            </x14:dxf>
          </x14:cfRule>
          <x14:cfRule type="expression" priority="24" id="{A36E286D-B38B-4B51-8A5B-FFDD5FBADD7B}">
            <xm:f>$C$7=Dataark!$L$18</xm:f>
            <x14:dxf>
              <font>
                <color theme="0"/>
              </font>
            </x14:dxf>
          </x14:cfRule>
          <xm:sqref>B9</xm:sqref>
        </x14:conditionalFormatting>
        <x14:conditionalFormatting xmlns:xm="http://schemas.microsoft.com/office/excel/2006/main">
          <x14:cfRule type="expression" priority="1" id="{51DD3A1B-C72F-4071-B558-5812F187C8F9}">
            <xm:f>$C$7=Dataark!$L$13</xm:f>
            <x14:dxf>
              <font>
                <color theme="0"/>
              </font>
            </x14:dxf>
          </x14:cfRule>
          <x14:cfRule type="expression" priority="20" id="{5EE9BB80-92FC-40EC-ADDB-B4E73727D3C9}">
            <xm:f>$C$7=Dataark!$L$14</xm:f>
            <x14:dxf>
              <font>
                <color theme="0"/>
              </font>
            </x14:dxf>
          </x14:cfRule>
          <xm:sqref>B9:G9</xm:sqref>
        </x14:conditionalFormatting>
        <x14:conditionalFormatting xmlns:xm="http://schemas.microsoft.com/office/excel/2006/main">
          <x14:cfRule type="expression" priority="14" id="{F51FFC80-BDB8-4785-B69A-7E547AEB4475}">
            <xm:f>$C$7=Dataark!$L$10</xm:f>
            <x14:dxf>
              <font>
                <color theme="0"/>
              </font>
            </x14:dxf>
          </x14:cfRule>
          <x14:cfRule type="expression" priority="15" id="{6811C2F6-CA39-4ECD-814D-D2897B8537D1}">
            <xm:f>$C$7=Dataark!$L$5</xm:f>
            <x14:dxf>
              <font>
                <color theme="0"/>
              </font>
            </x14:dxf>
          </x14:cfRule>
          <x14:cfRule type="expression" priority="16" id="{FF86E86E-4184-4A9D-8746-20B0685CE089}">
            <xm:f>$C$7=Dataark!$L$6</xm:f>
            <x14:dxf>
              <font>
                <color theme="0"/>
              </font>
            </x14:dxf>
          </x14:cfRule>
          <x14:cfRule type="expression" priority="17" id="{D46BF8F8-BBEA-4BC1-B006-9432DB22063A}">
            <xm:f>$C$7=Dataark!$L$7</xm:f>
            <x14:dxf>
              <font>
                <color theme="0"/>
              </font>
            </x14:dxf>
          </x14:cfRule>
          <x14:cfRule type="expression" priority="18" id="{A0410400-E59A-4181-AEC9-855213A23476}">
            <xm:f>$C$7=Dataark!$L$8</xm:f>
            <x14:dxf>
              <font>
                <color theme="0"/>
              </font>
            </x14:dxf>
          </x14:cfRule>
          <x14:cfRule type="expression" priority="19" id="{7BCBEB3E-CEE1-4957-A2AD-78D18EE5DD14}">
            <xm:f>$C$7=Dataark!$L$9</xm:f>
            <x14:dxf>
              <font>
                <color theme="0"/>
              </font>
            </x14:dxf>
          </x14:cfRule>
          <xm:sqref>B10:H10</xm:sqref>
        </x14:conditionalFormatting>
        <x14:conditionalFormatting xmlns:xm="http://schemas.microsoft.com/office/excel/2006/main">
          <x14:cfRule type="expression" priority="8" id="{7F2A8707-4925-4DDB-868C-20CFA384E772}">
            <xm:f>$C$7=Dataark!$L$10</xm:f>
            <x14:dxf>
              <font>
                <color theme="0"/>
              </font>
            </x14:dxf>
          </x14:cfRule>
          <x14:cfRule type="expression" priority="9" id="{BB5F7DD0-A6EF-4015-A1DF-8A1F702BD8D9}">
            <xm:f>$C$7=Dataark!$L$5</xm:f>
            <x14:dxf>
              <font>
                <color theme="0"/>
              </font>
            </x14:dxf>
          </x14:cfRule>
          <x14:cfRule type="expression" priority="10" id="{02755248-9760-4B34-9266-F47E97930063}">
            <xm:f>$C$7=Dataark!$L$6</xm:f>
            <x14:dxf>
              <font>
                <color theme="0"/>
              </font>
            </x14:dxf>
          </x14:cfRule>
          <x14:cfRule type="expression" priority="11" id="{4B834C97-F6E4-444F-B9B3-07415B6D28FB}">
            <xm:f>$C$7=Dataark!$L$7</xm:f>
            <x14:dxf>
              <font>
                <color theme="0"/>
              </font>
            </x14:dxf>
          </x14:cfRule>
          <x14:cfRule type="expression" priority="12" id="{106FA418-C3A9-4EEB-A88E-A0D6E3D089DF}">
            <xm:f>$C$7=Dataark!$L$8</xm:f>
            <x14:dxf>
              <font>
                <color theme="0"/>
              </font>
            </x14:dxf>
          </x14:cfRule>
          <x14:cfRule type="expression" priority="13" id="{EA969A16-63F0-4EE5-A360-E9BACF2AE454}">
            <xm:f>$C$7=Dataark!$L$9</xm:f>
            <x14:dxf>
              <font>
                <color theme="0"/>
              </font>
            </x14:dxf>
          </x14:cfRule>
          <xm:sqref>B13:H14</xm:sqref>
        </x14:conditionalFormatting>
        <x14:conditionalFormatting xmlns:xm="http://schemas.microsoft.com/office/excel/2006/main">
          <x14:cfRule type="expression" priority="2" id="{F646CBF4-5910-4339-9EA0-650777AA13AB}">
            <xm:f>$C$7=Dataark!$L$10</xm:f>
            <x14:dxf>
              <font>
                <color rgb="FF77A3A5"/>
              </font>
            </x14:dxf>
          </x14:cfRule>
          <x14:cfRule type="expression" priority="3" id="{4697EF1E-8C3A-439A-8DD9-AAAEA0E19BBF}">
            <xm:f>$C$7=Dataark!$L$5</xm:f>
            <x14:dxf>
              <font>
                <color rgb="FF77A3A5"/>
              </font>
            </x14:dxf>
          </x14:cfRule>
          <x14:cfRule type="expression" priority="4" id="{549B7998-F946-42D9-AD86-762FB1EFBD7E}">
            <xm:f>$C$7=Dataark!$L$6</xm:f>
            <x14:dxf>
              <font>
                <color rgb="FF77A3A5"/>
              </font>
            </x14:dxf>
          </x14:cfRule>
          <x14:cfRule type="expression" priority="5" id="{FD10B186-4DB2-41D6-BACB-0E1EED204AF1}">
            <xm:f>$C$7=Dataark!$L$7</xm:f>
            <x14:dxf>
              <font>
                <color rgb="FF77A3A5"/>
              </font>
            </x14:dxf>
          </x14:cfRule>
          <x14:cfRule type="expression" priority="6" id="{A5B7DA7B-D114-48F6-8533-DCCA5D8270D4}">
            <xm:f>$C$7=Dataark!$L$8</xm:f>
            <x14:dxf>
              <font>
                <color rgb="FF77A3A5"/>
              </font>
            </x14:dxf>
          </x14:cfRule>
          <x14:cfRule type="expression" priority="7" id="{9DC4AB44-816A-4948-BCB6-DAEC6CA7BBB9}">
            <xm:f>$C$7=Dataark!$L$9</xm:f>
            <x14:dxf>
              <font>
                <color rgb="FF77A3A5"/>
              </font>
            </x14:dxf>
          </x14:cfRule>
          <xm:sqref>B12:H12</xm:sqref>
        </x14:conditionalFormatting>
      </x14:conditionalFormattings>
    </ext>
    <ext xmlns:x14="http://schemas.microsoft.com/office/spreadsheetml/2009/9/main" uri="{CCE6A557-97BC-4b89-ADB6-D9C93CAAB3DF}">
      <x14:dataValidations xmlns:xm="http://schemas.microsoft.com/office/excel/2006/main" xWindow="970" yWindow="467" count="6">
        <x14:dataValidation type="list" allowBlank="1" showInputMessage="1" showErrorMessage="1" xr:uid="{4399AD34-5819-40A3-AE3D-625C13CB597C}">
          <x14:formula1>
            <xm:f>Dataark!$C$5:$C$16</xm:f>
          </x14:formula1>
          <xm:sqref>C6 F6</xm:sqref>
        </x14:dataValidation>
        <x14:dataValidation type="list" allowBlank="1" showInputMessage="1" showErrorMessage="1" xr:uid="{2E4ECFAF-806A-403A-A38C-110C4A29C2C5}">
          <x14:formula1>
            <xm:f>Dataark!$F$5:$F$15</xm:f>
          </x14:formula1>
          <xm:sqref>D6 G6</xm:sqref>
        </x14:dataValidation>
        <x14:dataValidation type="list" allowBlank="1" showInputMessage="1" showErrorMessage="1" xr:uid="{09A06F8E-3999-4A57-9417-82022FC6ED6A}">
          <x14:formula1>
            <xm:f>Dataark!$L$5:$L$18</xm:f>
          </x14:formula1>
          <xm:sqref>C7</xm:sqref>
        </x14:dataValidation>
        <x14:dataValidation type="list" allowBlank="1" showInputMessage="1" showErrorMessage="1" xr:uid="{814BD520-79E2-4FC6-90DE-CEA8A4C0D01F}">
          <x14:formula1>
            <xm:f>Dataark!$C$21:$C$22</xm:f>
          </x14:formula1>
          <xm:sqref>B18</xm:sqref>
        </x14:dataValidation>
        <x14:dataValidation type="list" showInputMessage="1" showErrorMessage="1" xr:uid="{BA65C406-F2B9-40F1-A428-56C1A2AC177E}">
          <x14:formula1>
            <xm:f>Dataark!$C$25:$C$26</xm:f>
          </x14:formula1>
          <xm:sqref>B27</xm:sqref>
        </x14:dataValidation>
        <x14:dataValidation type="list" allowBlank="1" showInputMessage="1" showErrorMessage="1" xr:uid="{AC9D0E05-FAF5-4B99-B472-FEB722E42BA1}">
          <x14:formula1>
            <xm:f>Dataark!$C$20:$C$22</xm:f>
          </x14:formula1>
          <xm:sqref>B17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80E54-29D9-4672-8444-B58A202C1A5C}">
  <sheetPr codeName="Ark2">
    <pageSetUpPr fitToPage="1"/>
  </sheetPr>
  <dimension ref="B1:BE51"/>
  <sheetViews>
    <sheetView zoomScale="70" zoomScaleNormal="70" workbookViewId="0"/>
  </sheetViews>
  <sheetFormatPr defaultColWidth="9.140625" defaultRowHeight="15" x14ac:dyDescent="0.25"/>
  <cols>
    <col min="1" max="1" width="3.5703125" style="5" customWidth="1"/>
    <col min="2" max="2" width="33.85546875" style="5" customWidth="1"/>
    <col min="3" max="3" width="16.7109375" style="5" customWidth="1"/>
    <col min="4" max="4" width="18.5703125" style="5" customWidth="1"/>
    <col min="5" max="8" width="16.7109375" style="5" customWidth="1"/>
    <col min="9" max="9" width="18.140625" style="5" bestFit="1" customWidth="1"/>
    <col min="10" max="10" width="17.42578125" style="5" customWidth="1"/>
    <col min="11" max="11" width="4.85546875" style="5" customWidth="1"/>
    <col min="12" max="15" width="9.140625" style="5"/>
    <col min="16" max="16" width="33" style="5" customWidth="1"/>
    <col min="17" max="17" width="9.140625" style="5"/>
    <col min="18" max="18" width="12.85546875" style="5" bestFit="1" customWidth="1"/>
    <col min="19" max="19" width="13.42578125" style="5" customWidth="1"/>
    <col min="20" max="20" width="9.140625" style="5"/>
    <col min="21" max="21" width="11.7109375" style="5" customWidth="1"/>
    <col min="22" max="22" width="9.140625" style="5"/>
    <col min="23" max="23" width="14.85546875" style="5" customWidth="1"/>
    <col min="24" max="16384" width="9.140625" style="5"/>
  </cols>
  <sheetData>
    <row r="1" spans="2:57" ht="45" customHeight="1" x14ac:dyDescent="0.35">
      <c r="B1" s="10" t="s">
        <v>12</v>
      </c>
      <c r="C1" s="232" t="str">
        <f>IF(ISBLANK(Betalingsopgørelse!C2),"",Betalingsopgørelse!C2)</f>
        <v>SKABELON</v>
      </c>
      <c r="D1" s="233"/>
      <c r="E1" s="233"/>
      <c r="F1" s="233"/>
      <c r="G1" s="233"/>
      <c r="H1" s="234"/>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row>
    <row r="2" spans="2:57" ht="30" customHeight="1" x14ac:dyDescent="0.35">
      <c r="B2" s="2" t="s">
        <v>2</v>
      </c>
      <c r="C2" s="232" t="str">
        <f>Betalingsopgørelse!C7</f>
        <v>Fjordly plejehjem</v>
      </c>
      <c r="D2" s="233"/>
      <c r="E2" s="233"/>
      <c r="F2" s="233"/>
      <c r="G2" s="233"/>
      <c r="H2" s="234"/>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row>
    <row r="3" spans="2:57" ht="30" customHeight="1" x14ac:dyDescent="0.35">
      <c r="B3" s="2" t="s">
        <v>3</v>
      </c>
      <c r="C3" s="232" t="str">
        <f>IF(ISBLANK(sted),"",_xlfn.CONCAT(sted," nr. ",bolignr))</f>
        <v xml:space="preserve">SKABELON nr. </v>
      </c>
      <c r="D3" s="233"/>
      <c r="E3" s="233"/>
      <c r="F3" s="233"/>
      <c r="G3" s="233"/>
      <c r="H3" s="234"/>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row>
    <row r="4" spans="2:57" ht="30" customHeight="1" x14ac:dyDescent="0.35">
      <c r="B4" s="2" t="s">
        <v>29</v>
      </c>
      <c r="C4" s="235" t="str">
        <f>IF(ISBLANK(cpr),"",cpr)</f>
        <v/>
      </c>
      <c r="D4" s="236"/>
      <c r="E4" s="236"/>
      <c r="F4" s="236"/>
      <c r="G4" s="236"/>
      <c r="H4" s="237"/>
      <c r="M4" s="95"/>
      <c r="N4" s="95"/>
      <c r="O4" s="95"/>
      <c r="P4" s="142"/>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row>
    <row r="5" spans="2:57" ht="49.5" customHeight="1" x14ac:dyDescent="0.25">
      <c r="B5" s="6" t="s">
        <v>113</v>
      </c>
      <c r="M5" s="95"/>
      <c r="N5" s="95"/>
      <c r="O5" s="95"/>
      <c r="P5" s="143"/>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row>
    <row r="6" spans="2:57" ht="18.75" x14ac:dyDescent="0.25">
      <c r="B6" s="7"/>
      <c r="C6" s="7" t="s">
        <v>17</v>
      </c>
      <c r="D6" s="8" t="s">
        <v>18</v>
      </c>
      <c r="E6" s="8" t="s">
        <v>19</v>
      </c>
      <c r="F6" s="8" t="s">
        <v>20</v>
      </c>
      <c r="G6" s="8" t="s">
        <v>21</v>
      </c>
      <c r="H6" s="8" t="s">
        <v>22</v>
      </c>
      <c r="I6" s="8" t="s">
        <v>23</v>
      </c>
      <c r="J6" s="9" t="s">
        <v>27</v>
      </c>
      <c r="K6" s="7"/>
      <c r="M6" s="95"/>
      <c r="N6" s="150"/>
      <c r="O6" s="168"/>
      <c r="P6" s="168"/>
      <c r="Q6" s="168"/>
      <c r="R6" s="168"/>
      <c r="S6" s="168"/>
      <c r="T6" s="168"/>
      <c r="U6" s="168"/>
      <c r="V6" s="168"/>
      <c r="W6" s="168"/>
      <c r="X6" s="150"/>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5"/>
      <c r="BE6" s="95"/>
    </row>
    <row r="7" spans="2:57" ht="36.75" customHeight="1" x14ac:dyDescent="0.25">
      <c r="B7" s="99" t="str">
        <f>B15</f>
        <v>Morgenmad</v>
      </c>
      <c r="C7" s="101" t="s">
        <v>93</v>
      </c>
      <c r="D7" s="101" t="s">
        <v>93</v>
      </c>
      <c r="E7" s="101" t="s">
        <v>93</v>
      </c>
      <c r="F7" s="101" t="s">
        <v>93</v>
      </c>
      <c r="G7" s="101" t="s">
        <v>93</v>
      </c>
      <c r="H7" s="101" t="s">
        <v>93</v>
      </c>
      <c r="I7" s="101" t="s">
        <v>93</v>
      </c>
      <c r="J7" s="102">
        <f>COUNTIF(C7:I7,"x")</f>
        <v>7</v>
      </c>
      <c r="K7" s="8"/>
      <c r="M7" s="95"/>
      <c r="N7" s="150"/>
      <c r="O7" s="151" t="s">
        <v>91</v>
      </c>
      <c r="P7" s="152">
        <f>DATE(YEAR(VLOOKUP(Betalingsopgørelse!D6,Dataark!F5:G15,2,FALSE)),MONTH(VLOOKUP(Betalingsopgørelse!D6,Dataark!F5:G15,2,FALSE)),1)</f>
        <v>45292</v>
      </c>
      <c r="Q7" s="151" t="s">
        <v>92</v>
      </c>
      <c r="R7" s="152">
        <f>(VLOOKUP(Betalingsopgørelse!D6,Dataark!F5:I15,4,FALSE))</f>
        <v>45474</v>
      </c>
      <c r="S7" s="150"/>
      <c r="T7" s="150"/>
      <c r="U7" s="150"/>
      <c r="V7" s="150"/>
      <c r="W7" s="150"/>
      <c r="X7" s="150"/>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row>
    <row r="8" spans="2:57" ht="36.75" customHeight="1" x14ac:dyDescent="0.25">
      <c r="B8" s="99" t="str">
        <f>B16</f>
        <v>Hovedret</v>
      </c>
      <c r="C8" s="101" t="s">
        <v>93</v>
      </c>
      <c r="D8" s="101" t="s">
        <v>93</v>
      </c>
      <c r="E8" s="101" t="s">
        <v>93</v>
      </c>
      <c r="F8" s="101" t="s">
        <v>93</v>
      </c>
      <c r="G8" s="101" t="s">
        <v>93</v>
      </c>
      <c r="H8" s="101" t="s">
        <v>93</v>
      </c>
      <c r="I8" s="101" t="s">
        <v>93</v>
      </c>
      <c r="J8" s="102">
        <f>COUNTIF(C8:I8,"x")</f>
        <v>7</v>
      </c>
      <c r="K8" s="8"/>
      <c r="M8" s="95"/>
      <c r="N8" s="150"/>
      <c r="O8" s="151"/>
      <c r="P8" s="152">
        <f>(VLOOKUP(Betalingsopgørelse!D6,Dataark!F5:I15,3,FALSE))</f>
        <v>45473</v>
      </c>
      <c r="Q8" s="151"/>
      <c r="R8" s="152">
        <f>R7+183</f>
        <v>45657</v>
      </c>
      <c r="S8" s="150" t="str">
        <f>Morgenmad</f>
        <v>Morgenmad</v>
      </c>
      <c r="T8" s="150" t="str">
        <f>hovedret</f>
        <v>Hovedret</v>
      </c>
      <c r="U8" s="150" t="str">
        <f>Aftensmad</f>
        <v>Aftensmad</v>
      </c>
      <c r="V8" s="150" t="s">
        <v>15</v>
      </c>
      <c r="W8" s="150" t="s">
        <v>109</v>
      </c>
      <c r="X8" s="150"/>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c r="BA8" s="95"/>
      <c r="BB8" s="95"/>
      <c r="BC8" s="95"/>
      <c r="BD8" s="95"/>
      <c r="BE8" s="95"/>
    </row>
    <row r="9" spans="2:57" ht="36.75" customHeight="1" x14ac:dyDescent="0.25">
      <c r="B9" s="99" t="str">
        <f>B17</f>
        <v>Aftensmad</v>
      </c>
      <c r="C9" s="101" t="s">
        <v>93</v>
      </c>
      <c r="D9" s="101" t="s">
        <v>93</v>
      </c>
      <c r="E9" s="101" t="s">
        <v>93</v>
      </c>
      <c r="F9" s="101" t="s">
        <v>93</v>
      </c>
      <c r="G9" s="101" t="s">
        <v>93</v>
      </c>
      <c r="H9" s="101" t="s">
        <v>93</v>
      </c>
      <c r="I9" s="101" t="s">
        <v>93</v>
      </c>
      <c r="J9" s="102">
        <f>COUNTIF(C9:I9,"x")</f>
        <v>7</v>
      </c>
      <c r="K9" s="8"/>
      <c r="M9" s="95"/>
      <c r="N9" s="150"/>
      <c r="O9" s="151" t="s">
        <v>94</v>
      </c>
      <c r="P9" s="153">
        <f t="array" aca="1" ref="P9" ca="1">SUM(1*(WEEKDAY(ROW(INDIRECT($P$7&amp;":"&amp;$P$8)))=2))</f>
        <v>26</v>
      </c>
      <c r="Q9" s="151" t="s">
        <v>94</v>
      </c>
      <c r="R9" s="153">
        <f t="array" aca="1" ref="R9" ca="1">SUM(1*(WEEKDAY(ROW(INDIRECT($R$7&amp;":"&amp;$R$8)))=2))</f>
        <v>27</v>
      </c>
      <c r="S9" s="150">
        <f>IF(C7="x",1,0)</f>
        <v>1</v>
      </c>
      <c r="T9" s="150">
        <f>IF(C8="x",1,0)</f>
        <v>1</v>
      </c>
      <c r="U9" s="150">
        <f>IF(C9="x",1,0)</f>
        <v>1</v>
      </c>
      <c r="V9" s="150">
        <f>IF(C10="x",1,0)</f>
        <v>1</v>
      </c>
      <c r="W9" s="150">
        <f t="shared" ref="W9:W15" si="0">$J$11</f>
        <v>0</v>
      </c>
      <c r="X9" s="150"/>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row>
    <row r="10" spans="2:57" ht="36.75" customHeight="1" x14ac:dyDescent="0.25">
      <c r="B10" s="99" t="s">
        <v>15</v>
      </c>
      <c r="C10" s="101" t="s">
        <v>93</v>
      </c>
      <c r="D10" s="101" t="s">
        <v>93</v>
      </c>
      <c r="E10" s="101" t="s">
        <v>93</v>
      </c>
      <c r="F10" s="101" t="s">
        <v>93</v>
      </c>
      <c r="G10" s="101" t="s">
        <v>93</v>
      </c>
      <c r="H10" s="101" t="s">
        <v>93</v>
      </c>
      <c r="I10" s="101" t="s">
        <v>93</v>
      </c>
      <c r="J10" s="156">
        <f>COUNTIF(C10:I10,"x")</f>
        <v>7</v>
      </c>
      <c r="K10" s="7"/>
      <c r="M10" s="95"/>
      <c r="N10" s="150"/>
      <c r="O10" s="151" t="s">
        <v>95</v>
      </c>
      <c r="P10" s="153">
        <f t="array" aca="1" ref="P10" ca="1">SUM(1*(WEEKDAY(ROW(INDIRECT($P$7&amp;":"&amp;$P$8)))=3))</f>
        <v>26</v>
      </c>
      <c r="Q10" s="151" t="s">
        <v>95</v>
      </c>
      <c r="R10" s="153">
        <f t="array" aca="1" ref="R10" ca="1">SUM(1*(WEEKDAY(ROW(INDIRECT($R$7&amp;":"&amp;$R$8)))=3))</f>
        <v>27</v>
      </c>
      <c r="S10" s="150">
        <f>IF(D7="x",1,0)</f>
        <v>1</v>
      </c>
      <c r="T10" s="150">
        <f>IF(D8="x",1,0)</f>
        <v>1</v>
      </c>
      <c r="U10" s="150">
        <f>IF(D9="x",1,0)</f>
        <v>1</v>
      </c>
      <c r="V10" s="150">
        <f>IF(D10="x",1,0)</f>
        <v>1</v>
      </c>
      <c r="W10" s="150">
        <f t="shared" si="0"/>
        <v>0</v>
      </c>
      <c r="X10" s="150"/>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row>
    <row r="11" spans="2:57" ht="36.75" customHeight="1" x14ac:dyDescent="0.25">
      <c r="B11" s="99" t="s">
        <v>16</v>
      </c>
      <c r="C11" s="239"/>
      <c r="D11" s="240"/>
      <c r="E11" s="240"/>
      <c r="F11" s="240"/>
      <c r="G11" s="240"/>
      <c r="H11" s="240"/>
      <c r="I11" s="241"/>
      <c r="J11" s="157">
        <f>COUNTIF(C11:I11,"x")</f>
        <v>0</v>
      </c>
      <c r="K11" s="7"/>
      <c r="M11" s="95"/>
      <c r="N11" s="150"/>
      <c r="O11" s="151" t="s">
        <v>96</v>
      </c>
      <c r="P11" s="153">
        <f t="array" aca="1" ref="P11" ca="1">SUM(1*(WEEKDAY(ROW(INDIRECT($P$7&amp;":"&amp;$P$8)))=4))</f>
        <v>26</v>
      </c>
      <c r="Q11" s="151" t="s">
        <v>96</v>
      </c>
      <c r="R11" s="153">
        <f t="array" aca="1" ref="R11" ca="1">SUM(1*(WEEKDAY(ROW(INDIRECT($R$7&amp;":"&amp;$R$8)))=4))</f>
        <v>26</v>
      </c>
      <c r="S11" s="150">
        <f>IF(E7="x",1,0)</f>
        <v>1</v>
      </c>
      <c r="T11" s="150">
        <f>IF(E8="x",1,0)</f>
        <v>1</v>
      </c>
      <c r="U11" s="150">
        <f>IF(E9="x",1,0)</f>
        <v>1</v>
      </c>
      <c r="V11" s="150">
        <f>IF(E10="x",1,0)</f>
        <v>1</v>
      </c>
      <c r="W11" s="150">
        <f t="shared" si="0"/>
        <v>0</v>
      </c>
      <c r="X11" s="150"/>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95"/>
      <c r="BC11" s="95"/>
      <c r="BD11" s="95"/>
      <c r="BE11" s="95"/>
    </row>
    <row r="12" spans="2:57" ht="22.5" customHeight="1" x14ac:dyDescent="0.25">
      <c r="B12" s="28"/>
      <c r="C12" s="158"/>
      <c r="D12" s="158"/>
      <c r="E12" s="158"/>
      <c r="F12" s="158"/>
      <c r="G12" s="158"/>
      <c r="H12" s="158"/>
      <c r="I12" s="159"/>
      <c r="J12" s="7"/>
      <c r="K12" s="7"/>
      <c r="M12" s="95"/>
      <c r="N12" s="150"/>
      <c r="O12" s="151" t="s">
        <v>97</v>
      </c>
      <c r="P12" s="153">
        <f t="array" aca="1" ref="P12" ca="1">SUM(1*(WEEKDAY(ROW(INDIRECT($P$7&amp;":"&amp;$P$8)))=5))</f>
        <v>26</v>
      </c>
      <c r="Q12" s="151" t="s">
        <v>97</v>
      </c>
      <c r="R12" s="153">
        <f t="array" aca="1" ref="R12" ca="1">SUM(1*(WEEKDAY(ROW(INDIRECT($R$7&amp;":"&amp;$R$8)))=5))</f>
        <v>26</v>
      </c>
      <c r="S12" s="150">
        <f>IF(F7="x",1,0)</f>
        <v>1</v>
      </c>
      <c r="T12" s="150">
        <f>IF(F8="x",1,0)</f>
        <v>1</v>
      </c>
      <c r="U12" s="150">
        <f>IF(F9="x",1,0)</f>
        <v>1</v>
      </c>
      <c r="V12" s="150">
        <f>IF(F10="x",1,0)</f>
        <v>1</v>
      </c>
      <c r="W12" s="150">
        <f t="shared" si="0"/>
        <v>0</v>
      </c>
      <c r="X12" s="150"/>
      <c r="Y12" s="150"/>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5"/>
      <c r="BC12" s="95"/>
      <c r="BD12" s="95"/>
      <c r="BE12" s="95"/>
    </row>
    <row r="13" spans="2:57" ht="21" x14ac:dyDescent="0.35">
      <c r="B13" s="29"/>
      <c r="C13" s="29"/>
      <c r="D13" s="29"/>
      <c r="E13" s="29"/>
      <c r="F13" s="29"/>
      <c r="G13" s="29"/>
      <c r="H13" s="29"/>
      <c r="M13" s="95"/>
      <c r="N13" s="150"/>
      <c r="O13" s="151" t="s">
        <v>98</v>
      </c>
      <c r="P13" s="153">
        <f t="array" aca="1" ref="P13" ca="1">SUM(1*(WEEKDAY(ROW(INDIRECT($P$7&amp;":"&amp;$P$8)))=6))</f>
        <v>26</v>
      </c>
      <c r="Q13" s="151" t="s">
        <v>98</v>
      </c>
      <c r="R13" s="153">
        <f t="array" aca="1" ref="R13" ca="1">SUM(1*(WEEKDAY(ROW(INDIRECT($R$7&amp;":"&amp;$R$8)))=6))</f>
        <v>26</v>
      </c>
      <c r="S13" s="150">
        <f>IF(G7="x",1,0)</f>
        <v>1</v>
      </c>
      <c r="T13" s="150">
        <f>IF(G8="x",1,0)</f>
        <v>1</v>
      </c>
      <c r="U13" s="150">
        <f>IF(G9="x",1,0)</f>
        <v>1</v>
      </c>
      <c r="V13" s="150">
        <f>IF(G10="x",1,0)</f>
        <v>1</v>
      </c>
      <c r="W13" s="150">
        <f t="shared" si="0"/>
        <v>0</v>
      </c>
      <c r="X13" s="150"/>
      <c r="Y13" s="150"/>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row>
    <row r="14" spans="2:57" ht="30" customHeight="1" x14ac:dyDescent="0.35">
      <c r="B14" s="238" t="s">
        <v>28</v>
      </c>
      <c r="C14" s="238"/>
      <c r="D14" s="29"/>
      <c r="E14" s="29"/>
      <c r="F14" s="29"/>
      <c r="G14" s="145"/>
      <c r="H14" s="29"/>
      <c r="M14" s="95"/>
      <c r="N14" s="150"/>
      <c r="O14" s="151" t="s">
        <v>99</v>
      </c>
      <c r="P14" s="153">
        <f t="array" aca="1" ref="P14" ca="1">SUM(1*(WEEKDAY(ROW(INDIRECT($P$7&amp;":"&amp;$P$8)))=7))</f>
        <v>26</v>
      </c>
      <c r="Q14" s="151" t="s">
        <v>99</v>
      </c>
      <c r="R14" s="153">
        <f t="array" aca="1" ref="R14" ca="1">SUM(1*(WEEKDAY(ROW(INDIRECT($R$7&amp;":"&amp;$R$8)))=7))</f>
        <v>26</v>
      </c>
      <c r="S14" s="150">
        <f>IF(H7="x",1,0)</f>
        <v>1</v>
      </c>
      <c r="T14" s="150">
        <f>IF(H8="x",1,0)</f>
        <v>1</v>
      </c>
      <c r="U14" s="150">
        <f>IF(H9="x",1,0)</f>
        <v>1</v>
      </c>
      <c r="V14" s="150">
        <f>IF(H10="x",1,0)</f>
        <v>1</v>
      </c>
      <c r="W14" s="150">
        <f t="shared" si="0"/>
        <v>0</v>
      </c>
      <c r="X14" s="150"/>
      <c r="Y14" s="150"/>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row>
    <row r="15" spans="2:57" ht="21" x14ac:dyDescent="0.35">
      <c r="B15" s="37" t="s">
        <v>24</v>
      </c>
      <c r="C15" s="177">
        <f ca="1">IF(ISBLANK(Betalingsopgørelse!$H$10),VLOOKUP(Betalingsopgørelse!$C$7,Dataark!$L$5:$AD$18,12,FALSE),VLOOKUP(Betalingsopgørelse!$C$7,Dataark!$L$5:$AD$18,17,FALSE))</f>
        <v>16.754098360655739</v>
      </c>
      <c r="D15" s="29" t="s">
        <v>86</v>
      </c>
      <c r="E15" s="150">
        <f>IF(ISBLANK(Betalingsopgørelse!$H$10),VLOOKUP(Betalingsopgørelse!$C$7,Dataark!$L$5:$AD$18,4,FALSE),VLOOKUP(Betalingsopgørelse!$C$7,Dataark!$L$5:$AD$18,9,FALSE))</f>
        <v>511</v>
      </c>
      <c r="F15" s="163"/>
      <c r="G15" s="164"/>
      <c r="H15" s="165"/>
      <c r="I15" s="166"/>
      <c r="J15" s="167"/>
      <c r="K15" s="168"/>
      <c r="L15" s="144"/>
      <c r="M15" s="95"/>
      <c r="N15" s="150"/>
      <c r="O15" s="151" t="s">
        <v>100</v>
      </c>
      <c r="P15" s="153">
        <f t="array" aca="1" ref="P15" ca="1">SUM(1*(WEEKDAY(ROW(INDIRECT($P$7&amp;":"&amp;$P$8)))=1))</f>
        <v>26</v>
      </c>
      <c r="Q15" s="151" t="s">
        <v>100</v>
      </c>
      <c r="R15" s="153">
        <f t="array" aca="1" ref="R15" ca="1">SUM(1*(WEEKDAY(ROW(INDIRECT($R$7&amp;":"&amp;$R$8)))=1))</f>
        <v>26</v>
      </c>
      <c r="S15" s="150">
        <f>IF(I7="x",1,0)</f>
        <v>1</v>
      </c>
      <c r="T15" s="150">
        <f>IF(I8="x",1,0)</f>
        <v>1</v>
      </c>
      <c r="U15" s="150">
        <f>IF(I9="x",1,0)</f>
        <v>1</v>
      </c>
      <c r="V15" s="150">
        <f>IF(I10="x",1,0)</f>
        <v>1</v>
      </c>
      <c r="W15" s="150">
        <f t="shared" si="0"/>
        <v>0</v>
      </c>
      <c r="X15" s="150"/>
      <c r="Y15" s="150"/>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row>
    <row r="16" spans="2:57" ht="21" x14ac:dyDescent="0.35">
      <c r="B16" s="37" t="str">
        <f>IF(OR(Betalingsopgørelse!$C$7=Dataark!$L$11,Betalingsopgørelse!$C$7=Dataark!$L$12,Betalingsopgørelse!$C$7=Dataark!$L$13,Betalingsopgørelse!$C$7=Dataark!$L$14,Betalingsopgørelse!$C$7=Dataark!$L$15,Betalingsopgørelse!$C$7=Dataark!$L$16,Betalingsopgørelse!$C$7=Dataark!$L$17,Betalingsopgørelse!$C$7=Dataark!$L$18),"Frokost","Hovedret")</f>
        <v>Hovedret</v>
      </c>
      <c r="C16" s="96">
        <f ca="1">IF(ISBLANK(Betalingsopgørelse!$H$10),VLOOKUP(Betalingsopgørelse!$C$7,Dataark!$L$5:$AD$18,13,FALSE),VLOOKUP(Betalingsopgørelse!$C$7,Dataark!$L$5:$AD$18,18,FALSE))</f>
        <v>55.016393442622949</v>
      </c>
      <c r="D16" s="29" t="s">
        <v>86</v>
      </c>
      <c r="E16" s="150">
        <f>IF(ISBLANK(Betalingsopgørelse!$H$10),VLOOKUP(Betalingsopgørelse!$C$7,Dataark!$L$5:$AD$18,5,FALSE),VLOOKUP(Betalingsopgørelse!$C$7,Dataark!$L$5:$AD$18,10,FALSE))</f>
        <v>1678</v>
      </c>
      <c r="F16" s="163"/>
      <c r="G16" s="164"/>
      <c r="H16" s="165"/>
      <c r="I16" s="166"/>
      <c r="J16" s="167"/>
      <c r="K16" s="168"/>
      <c r="L16" s="144"/>
      <c r="M16" s="95"/>
      <c r="N16" s="150"/>
      <c r="O16" s="154" t="s">
        <v>101</v>
      </c>
      <c r="P16" s="150">
        <f ca="1">SUM(P9:P15)</f>
        <v>182</v>
      </c>
      <c r="Q16" s="154" t="s">
        <v>101</v>
      </c>
      <c r="R16" s="150">
        <f ca="1">SUM(R9:R15)</f>
        <v>184</v>
      </c>
      <c r="S16" s="150"/>
      <c r="T16" s="150"/>
      <c r="U16" s="150"/>
      <c r="V16" s="150"/>
      <c r="W16" s="150"/>
      <c r="X16" s="150"/>
      <c r="Y16" s="150"/>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row>
    <row r="17" spans="2:57" ht="21" x14ac:dyDescent="0.35">
      <c r="B17" s="37" t="s">
        <v>26</v>
      </c>
      <c r="C17" s="96">
        <f ca="1">IF(ISBLANK(Betalingsopgørelse!$H$10),VLOOKUP(Betalingsopgørelse!$C$7,Dataark!$L$5:$AD$18,15,FALSE),VLOOKUP(Betalingsopgørelse!$C$7,Dataark!$L$5:$AD$18,19,FALSE))</f>
        <v>27.540983606557376</v>
      </c>
      <c r="D17" s="29" t="s">
        <v>86</v>
      </c>
      <c r="E17" s="150">
        <f>IF(ISBLANK(Betalingsopgørelse!$H$10),VLOOKUP(Betalingsopgørelse!$C$7,Dataark!$L$5:$AD$18,7,FALSE),VLOOKUP(Betalingsopgørelse!$C$7,Dataark!$L$5:$AD$18,11,FALSE))</f>
        <v>840</v>
      </c>
      <c r="F17" s="163"/>
      <c r="G17" s="164"/>
      <c r="H17" s="165"/>
      <c r="I17" s="166"/>
      <c r="J17" s="167"/>
      <c r="K17" s="168"/>
      <c r="L17" s="144"/>
      <c r="M17" s="95"/>
      <c r="N17" s="150"/>
      <c r="O17" s="150"/>
      <c r="P17" s="155"/>
      <c r="Q17" s="150" t="s">
        <v>102</v>
      </c>
      <c r="R17" s="150"/>
      <c r="S17" s="150">
        <f ca="1">(S9*$P$9)+(S10*$P$10)+(S11*$P$11)+(S12*$P$12)+(S13*$P$13)+(S14*$P$14)+(S15*$P$15)</f>
        <v>182</v>
      </c>
      <c r="T17" s="150">
        <f ca="1">(T9*$P$9)+(T10*$P$10)+(T11*$P$11)+(T12*$P$12)+(T13*$P$13)+(T14*$P$14)+(T15*$P$15)</f>
        <v>182</v>
      </c>
      <c r="U17" s="150">
        <f ca="1">(U9*$P$9)+(U10*$P$10)+(U11*$P$11)+(U12*$P$12)+(U13*$P$13)+(U14*$P$14)+(U15*$P$15)</f>
        <v>182</v>
      </c>
      <c r="V17" s="150">
        <f ca="1">(V9*$P$9)+(V10*$P$10)+(V11*$P$11)+(V12*$P$12)+(V13*$P$13)+(V14*$P$14)+(V15*$P$15)</f>
        <v>182</v>
      </c>
      <c r="W17" s="150">
        <f ca="1">(W9*$P$9)+(W10*$P$10)+(W11*$P$11)+(W12*$P$12)+(W13*$P$13)+(W14*$P$14)+(W15*$P$15)</f>
        <v>0</v>
      </c>
      <c r="X17" s="150"/>
      <c r="Y17" s="150"/>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row>
    <row r="18" spans="2:57" ht="21.95" customHeight="1" x14ac:dyDescent="0.35">
      <c r="B18" s="37" t="str">
        <f>IF($J$10&gt;=1,B10," ")</f>
        <v>Biret</v>
      </c>
      <c r="C18" s="96">
        <f>IF(J10&gt;=1,IF(ISBLANK(Betalingsopgørelse!$H$9),0,VLOOKUP(Betalingsopgørelse!$C$7,Dataark!$L$5:$AD$14,14,FALSE)),"")</f>
        <v>0</v>
      </c>
      <c r="D18" s="29" t="str">
        <f>IF($J$10&gt;=1,$D$17," ")</f>
        <v>pr. dag</v>
      </c>
      <c r="E18" s="108">
        <f>IF(ISBLANK(J10),"0",VLOOKUP(Betalingsopgørelse!$C$7,Dataark!$L$5:$V$18,6,FALSE))</f>
        <v>475</v>
      </c>
      <c r="F18" s="165"/>
      <c r="G18" s="164"/>
      <c r="H18" s="165"/>
      <c r="I18" s="166"/>
      <c r="J18" s="167"/>
      <c r="K18" s="168"/>
      <c r="M18" s="95"/>
      <c r="N18" s="150"/>
      <c r="O18" s="150"/>
      <c r="P18" s="155"/>
      <c r="Q18" s="150" t="s">
        <v>103</v>
      </c>
      <c r="R18" s="150"/>
      <c r="S18" s="150">
        <f ca="1">(S9*$R$9)+(S10*$R$10)+(S11*$R$11)+(S12*$R$12)+(S13*$R$13)+(S14*$R$14)+(S15*$R$15)</f>
        <v>184</v>
      </c>
      <c r="T18" s="150">
        <f ca="1">(T9*$R$9)+(T10*$R$10)+(T11*$R$11)+(T12*$R$12)+(T13*$R$13)+(T14*$R$14)+(T15*$R$15)</f>
        <v>184</v>
      </c>
      <c r="U18" s="150">
        <f ca="1">(U9*$R$9)+(U10*$R$10)+(U11*$R$11)+(U12*$R$12)+(U13*$R$13)+(U14*$R$14)+(U15*$R$15)</f>
        <v>184</v>
      </c>
      <c r="V18" s="150">
        <f ca="1">(V9*$R$9)+(V10*$R$10)+(V11*$R$11)+(V12*$R$12)+(V13*$R$13)+(V14*$R$14)+(V15*$R$15)</f>
        <v>184</v>
      </c>
      <c r="W18" s="150">
        <f ca="1">(W9*$R$9)+(W10*$R$10)+(W11*$R$11)+(W12*$R$12)+(W13*$R$13)+(W14*$R$14)+(W15*$R$15)</f>
        <v>0</v>
      </c>
      <c r="X18" s="150"/>
      <c r="Y18" s="150"/>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row>
    <row r="19" spans="2:57" ht="21.95" customHeight="1" x14ac:dyDescent="0.35">
      <c r="B19" s="37" t="str">
        <f>IF($J$11=1,B11," ")</f>
        <v xml:space="preserve"> </v>
      </c>
      <c r="C19" s="96" t="str">
        <f>IF(J11=1,IF(ISBLANK(Betalingsopgørelse!$H$9),0,VLOOKUP(Betalingsopgørelse!$C$7,Dataark!$L$5:$AD$14,16,FALSE)),"")</f>
        <v/>
      </c>
      <c r="D19" s="29" t="str">
        <f>IF($J$11=1,$D$17," ")</f>
        <v xml:space="preserve"> </v>
      </c>
      <c r="E19" s="108" t="str">
        <f>IF(ISBLANK(C11),"0",VLOOKUP(Betalingsopgørelse!$C$7,Dataark!$L$5:$V$18,8,FALSE))</f>
        <v>0</v>
      </c>
      <c r="F19" s="165"/>
      <c r="G19" s="164"/>
      <c r="H19" s="165"/>
      <c r="I19" s="166"/>
      <c r="J19" s="167"/>
      <c r="K19" s="168"/>
      <c r="M19" s="95"/>
      <c r="N19" s="150"/>
      <c r="O19" s="150"/>
      <c r="P19" s="150"/>
      <c r="Q19" s="150"/>
      <c r="R19" s="150"/>
      <c r="S19" s="150"/>
      <c r="T19" s="150"/>
      <c r="U19" s="150"/>
      <c r="V19" s="150"/>
      <c r="W19" s="150"/>
      <c r="X19" s="150"/>
      <c r="Y19" s="150"/>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row>
    <row r="20" spans="2:57" ht="21.95" customHeight="1" x14ac:dyDescent="0.35">
      <c r="B20" s="109" t="str">
        <f>IF(OR(Betalingsopgørelse!$C$7=Dataark!$L$11,Betalingsopgørelse!$C$7=Dataark!$L$12,Betalingsopgørelse!$C$7=Dataark!$L$13,Betalingsopgørelse!$C$7=Dataark!$L$14,Betalingsopgørelse!$C$7=Dataark!$L$15,Betalingsopgørelse!$C$7=Dataark!$L$16,Betalingsopgørelse!$C$7=Dataark!$L$17,Betalingsopgørelse!$C$7=Dataark!$L$18),"Gæstemåltid-Aftensmad","Gæstemåltid-Hovedret")</f>
        <v>Gæstemåltid-Hovedret</v>
      </c>
      <c r="C20" s="96">
        <f ca="1">IF(OR(Betalingsopgørelse!$C$7=Dataark!$L$11,Betalingsopgørelse!$C$7=Dataark!$L$12,Betalingsopgørelse!$C$7=Dataark!$L$13,Betalingsopgørelse!$C$7=Dataark!$L$14,Betalingsopgørelse!$C$7=Dataark!$L$15,Betalingsopgørelse!$C$7=Dataark!$L$16,Betalingsopgørelse!$C$7=Dataark!$L$17,Betalingsopgørelse!$C$7=Dataark!$L$18),Aftenpris,Frokostpris)</f>
        <v>55.016393442622949</v>
      </c>
      <c r="D20" s="29" t="s">
        <v>107</v>
      </c>
      <c r="E20" s="96"/>
      <c r="F20" s="165"/>
      <c r="G20" s="165"/>
      <c r="H20" s="165"/>
      <c r="I20" s="168"/>
      <c r="J20" s="168"/>
      <c r="K20" s="168"/>
      <c r="M20" s="95"/>
      <c r="N20" s="150"/>
      <c r="O20" s="168"/>
      <c r="P20" s="168"/>
      <c r="Q20" s="168"/>
      <c r="R20" s="168"/>
      <c r="S20" s="168"/>
      <c r="T20" s="168"/>
      <c r="U20" s="168"/>
      <c r="V20" s="168"/>
      <c r="W20" s="168"/>
      <c r="X20" s="150"/>
      <c r="Y20" s="150"/>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5"/>
    </row>
    <row r="21" spans="2:57" ht="21.95" customHeight="1" x14ac:dyDescent="0.35">
      <c r="B21" s="109" t="s">
        <v>106</v>
      </c>
      <c r="C21" s="96">
        <f>biretpris</f>
        <v>0</v>
      </c>
      <c r="D21" s="29" t="s">
        <v>107</v>
      </c>
      <c r="E21" s="96"/>
      <c r="F21" s="165"/>
      <c r="G21" s="165"/>
      <c r="H21" s="165"/>
      <c r="I21" s="168"/>
      <c r="J21" s="168"/>
      <c r="K21" s="168"/>
      <c r="M21" s="95"/>
      <c r="N21" s="150"/>
      <c r="O21" s="168"/>
      <c r="P21" s="168"/>
      <c r="Q21" s="168"/>
      <c r="R21" s="168"/>
      <c r="S21" s="168"/>
      <c r="T21" s="168"/>
      <c r="U21" s="168"/>
      <c r="V21" s="168"/>
      <c r="W21" s="168"/>
      <c r="X21" s="150"/>
      <c r="Y21" s="150"/>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row>
    <row r="22" spans="2:57" ht="58.5" customHeight="1" thickBot="1" x14ac:dyDescent="0.4">
      <c r="B22" s="231" t="s">
        <v>110</v>
      </c>
      <c r="C22" s="231"/>
      <c r="D22" s="231"/>
      <c r="E22" s="29"/>
      <c r="F22" s="29"/>
      <c r="G22" s="29"/>
      <c r="H22" s="29"/>
      <c r="M22" s="95"/>
      <c r="N22" s="150"/>
      <c r="O22" s="150"/>
      <c r="P22" s="176"/>
      <c r="Q22" s="150"/>
      <c r="R22" s="150"/>
      <c r="S22" s="150"/>
      <c r="T22" s="150"/>
      <c r="U22" s="150"/>
      <c r="V22" s="150"/>
      <c r="W22" s="150"/>
      <c r="X22" s="150"/>
      <c r="Y22" s="150"/>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5"/>
      <c r="BA22" s="95"/>
      <c r="BB22" s="95"/>
      <c r="BC22" s="95"/>
      <c r="BD22" s="95"/>
      <c r="BE22" s="95"/>
    </row>
    <row r="23" spans="2:57" ht="21.95" customHeight="1" thickBot="1" x14ac:dyDescent="0.3">
      <c r="B23" s="30" t="s">
        <v>91</v>
      </c>
      <c r="C23" s="30" t="s">
        <v>60</v>
      </c>
      <c r="D23" s="30" t="s">
        <v>61</v>
      </c>
      <c r="E23" s="30" t="s">
        <v>62</v>
      </c>
      <c r="F23" s="30" t="s">
        <v>63</v>
      </c>
      <c r="G23" s="30" t="s">
        <v>64</v>
      </c>
      <c r="H23" s="30" t="s">
        <v>65</v>
      </c>
      <c r="I23" s="36" t="s">
        <v>72</v>
      </c>
      <c r="J23" s="223" t="s">
        <v>73</v>
      </c>
      <c r="K23" s="224"/>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95"/>
      <c r="BA23" s="95"/>
      <c r="BB23" s="95"/>
      <c r="BC23" s="95"/>
      <c r="BD23" s="95"/>
      <c r="BE23" s="95"/>
    </row>
    <row r="24" spans="2:57" ht="21.95" customHeight="1" thickBot="1" x14ac:dyDescent="0.4">
      <c r="B24" s="107" t="str">
        <f>Morgenmad</f>
        <v>Morgenmad</v>
      </c>
      <c r="C24" s="119">
        <f ca="1">'Tilmeldte måltider'!G$3</f>
        <v>31</v>
      </c>
      <c r="D24" s="31">
        <f ca="1">'Tilmeldte måltider'!G$62</f>
        <v>28</v>
      </c>
      <c r="E24" s="31">
        <f ca="1">'Tilmeldte måltider'!G$122</f>
        <v>31</v>
      </c>
      <c r="F24" s="31">
        <f ca="1">'Tilmeldte måltider'!G$182</f>
        <v>30</v>
      </c>
      <c r="G24" s="31">
        <f ca="1">'Tilmeldte måltider'!G$242</f>
        <v>31</v>
      </c>
      <c r="H24" s="31">
        <f ca="1">'Tilmeldte måltider'!G$302</f>
        <v>30</v>
      </c>
      <c r="I24" s="35">
        <f t="shared" ref="I24:I29" ca="1" si="1">SUM(C24:H24)</f>
        <v>181</v>
      </c>
      <c r="J24" s="225">
        <f ca="1">$S$17/$P$16</f>
        <v>1</v>
      </c>
      <c r="K24" s="226"/>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95"/>
      <c r="BA24" s="95"/>
      <c r="BB24" s="95"/>
      <c r="BC24" s="95"/>
      <c r="BD24" s="95"/>
      <c r="BE24" s="95"/>
    </row>
    <row r="25" spans="2:57" ht="21.95" customHeight="1" thickBot="1" x14ac:dyDescent="0.4">
      <c r="B25" s="107" t="str">
        <f>hovedret</f>
        <v>Hovedret</v>
      </c>
      <c r="C25" s="119">
        <v>0</v>
      </c>
      <c r="D25" s="31">
        <f ca="1">'Tilmeldte måltider'!I$62</f>
        <v>28</v>
      </c>
      <c r="E25" s="31">
        <f ca="1">'Tilmeldte måltider'!I$122</f>
        <v>31</v>
      </c>
      <c r="F25" s="31">
        <f ca="1">'Tilmeldte måltider'!I$182</f>
        <v>30</v>
      </c>
      <c r="G25" s="31">
        <f ca="1">'Tilmeldte måltider'!I$242</f>
        <v>31</v>
      </c>
      <c r="H25" s="31">
        <f ca="1">'Tilmeldte måltider'!I$302</f>
        <v>30</v>
      </c>
      <c r="I25" s="35">
        <f t="shared" ca="1" si="1"/>
        <v>150</v>
      </c>
      <c r="J25" s="225">
        <f ca="1">$T$17/$P$16</f>
        <v>1</v>
      </c>
      <c r="K25" s="226"/>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row>
    <row r="26" spans="2:57" ht="21.95" customHeight="1" thickBot="1" x14ac:dyDescent="0.4">
      <c r="B26" s="107" t="str">
        <f>Aftensmad</f>
        <v>Aftensmad</v>
      </c>
      <c r="C26" s="119">
        <v>0</v>
      </c>
      <c r="D26" s="31">
        <f ca="1">'Tilmeldte måltider'!K$62</f>
        <v>28</v>
      </c>
      <c r="E26" s="31">
        <f ca="1">'Tilmeldte måltider'!K$122</f>
        <v>31</v>
      </c>
      <c r="F26" s="31">
        <f ca="1">'Tilmeldte måltider'!K$182</f>
        <v>30</v>
      </c>
      <c r="G26" s="31">
        <f ca="1">'Tilmeldte måltider'!K$242</f>
        <v>31</v>
      </c>
      <c r="H26" s="31">
        <f ca="1">'Tilmeldte måltider'!K$302</f>
        <v>30</v>
      </c>
      <c r="I26" s="35">
        <f t="shared" ca="1" si="1"/>
        <v>150</v>
      </c>
      <c r="J26" s="225">
        <f ca="1">$U$17/$P$16</f>
        <v>1</v>
      </c>
      <c r="K26" s="226"/>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row>
    <row r="27" spans="2:57" ht="21.95" customHeight="1" thickBot="1" x14ac:dyDescent="0.4">
      <c r="B27" s="107" t="str">
        <f>biret</f>
        <v>Biret</v>
      </c>
      <c r="C27" s="119">
        <v>0</v>
      </c>
      <c r="D27" s="31">
        <f ca="1">'Tilmeldte måltider'!G63</f>
        <v>28</v>
      </c>
      <c r="E27" s="31">
        <f ca="1">'Tilmeldte måltider'!G123</f>
        <v>31</v>
      </c>
      <c r="F27" s="31">
        <f ca="1">'Tilmeldte måltider'!G183</f>
        <v>30</v>
      </c>
      <c r="G27" s="31">
        <f ca="1">'Tilmeldte måltider'!G243</f>
        <v>31</v>
      </c>
      <c r="H27" s="31">
        <f ca="1">'Tilmeldte måltider'!G303</f>
        <v>30</v>
      </c>
      <c r="I27" s="35">
        <f t="shared" ca="1" si="1"/>
        <v>150</v>
      </c>
      <c r="J27" s="225">
        <f ca="1">$V$17/$P$16</f>
        <v>1</v>
      </c>
      <c r="K27" s="226"/>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row>
    <row r="28" spans="2:57" ht="21.95" customHeight="1" thickBot="1" x14ac:dyDescent="0.4">
      <c r="B28" s="107" t="str">
        <f>mellemmåltid</f>
        <v>Mellemmåltid</v>
      </c>
      <c r="C28" s="119">
        <v>0</v>
      </c>
      <c r="D28" s="31">
        <f ca="1">'Tilmeldte måltider'!I63</f>
        <v>0</v>
      </c>
      <c r="E28" s="31">
        <f ca="1">'Tilmeldte måltider'!I123</f>
        <v>0</v>
      </c>
      <c r="F28" s="31">
        <f ca="1">'Tilmeldte måltider'!I183</f>
        <v>0</v>
      </c>
      <c r="G28" s="31">
        <f ca="1">'Tilmeldte måltider'!I243</f>
        <v>0</v>
      </c>
      <c r="H28" s="31">
        <f ca="1">'Tilmeldte måltider'!I303</f>
        <v>0</v>
      </c>
      <c r="I28" s="35">
        <f t="shared" ca="1" si="1"/>
        <v>0</v>
      </c>
      <c r="J28" s="225">
        <f ca="1">$W$17/$P$16</f>
        <v>0</v>
      </c>
      <c r="K28" s="226"/>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row>
    <row r="29" spans="2:57" ht="21.95" customHeight="1" thickBot="1" x14ac:dyDescent="0.3">
      <c r="B29" s="40" t="s">
        <v>111</v>
      </c>
      <c r="C29" s="120">
        <f ca="1">'Tilmeldte måltider'!L3</f>
        <v>3000</v>
      </c>
      <c r="D29" s="40">
        <f ca="1">'Tilmeldte måltider'!L62</f>
        <v>3000</v>
      </c>
      <c r="E29" s="40">
        <f ca="1">'Tilmeldte måltider'!L122</f>
        <v>3000</v>
      </c>
      <c r="F29" s="40">
        <f ca="1">'Tilmeldte måltider'!L182</f>
        <v>3000</v>
      </c>
      <c r="G29" s="40">
        <f ca="1">'Tilmeldte måltider'!L242</f>
        <v>3000</v>
      </c>
      <c r="H29" s="40">
        <f ca="1">'Tilmeldte måltider'!L302</f>
        <v>3000</v>
      </c>
      <c r="I29" s="41">
        <f t="shared" ca="1" si="1"/>
        <v>18000</v>
      </c>
      <c r="J29" s="229">
        <f ca="1">AVERAGE(J24:K28)</f>
        <v>0.8</v>
      </c>
      <c r="K29" s="230"/>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95"/>
      <c r="BA29" s="95"/>
      <c r="BB29" s="95"/>
      <c r="BC29" s="95"/>
      <c r="BD29" s="95"/>
      <c r="BE29" s="95"/>
    </row>
    <row r="30" spans="2:57" ht="21.95" customHeight="1" thickBot="1" x14ac:dyDescent="0.4">
      <c r="B30" s="30" t="s">
        <v>92</v>
      </c>
      <c r="C30" s="30" t="s">
        <v>66</v>
      </c>
      <c r="D30" s="30" t="s">
        <v>67</v>
      </c>
      <c r="E30" s="30" t="s">
        <v>68</v>
      </c>
      <c r="F30" s="30" t="s">
        <v>69</v>
      </c>
      <c r="G30" s="30" t="s">
        <v>70</v>
      </c>
      <c r="H30" s="30" t="s">
        <v>71</v>
      </c>
      <c r="I30" s="34" t="s">
        <v>72</v>
      </c>
      <c r="J30" s="227"/>
      <c r="K30" s="228"/>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95"/>
      <c r="BA30" s="95"/>
      <c r="BB30" s="95"/>
      <c r="BC30" s="95"/>
      <c r="BD30" s="95"/>
      <c r="BE30" s="95"/>
    </row>
    <row r="31" spans="2:57" ht="21.95" customHeight="1" thickBot="1" x14ac:dyDescent="0.4">
      <c r="B31" s="107" t="str">
        <f>Morgenmad</f>
        <v>Morgenmad</v>
      </c>
      <c r="C31" s="31">
        <f ca="1">'Tilmeldte måltider'!G$362</f>
        <v>31</v>
      </c>
      <c r="D31" s="31">
        <f ca="1">'Tilmeldte måltider'!G$422</f>
        <v>31</v>
      </c>
      <c r="E31" s="31">
        <f ca="1">'Tilmeldte måltider'!G$482</f>
        <v>30</v>
      </c>
      <c r="F31" s="31">
        <f ca="1">'Tilmeldte måltider'!G$542</f>
        <v>31</v>
      </c>
      <c r="G31" s="31">
        <f ca="1">'Tilmeldte måltider'!G$602</f>
        <v>30</v>
      </c>
      <c r="H31" s="31">
        <f ca="1">'Tilmeldte måltider'!G$662</f>
        <v>31</v>
      </c>
      <c r="I31" s="35">
        <f t="shared" ref="I31:I36" ca="1" si="2">SUM(C31:H31)</f>
        <v>184</v>
      </c>
      <c r="J31" s="225">
        <f ca="1">$S$18/$R$16</f>
        <v>1</v>
      </c>
      <c r="K31" s="226"/>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row>
    <row r="32" spans="2:57" ht="21.95" customHeight="1" thickBot="1" x14ac:dyDescent="0.4">
      <c r="B32" s="107" t="str">
        <f>hovedret</f>
        <v>Hovedret</v>
      </c>
      <c r="C32" s="31">
        <f ca="1">'Tilmeldte måltider'!I$362</f>
        <v>31</v>
      </c>
      <c r="D32" s="31">
        <f ca="1">'Tilmeldte måltider'!I$422</f>
        <v>31</v>
      </c>
      <c r="E32" s="31">
        <f ca="1">'Tilmeldte måltider'!I$482</f>
        <v>30</v>
      </c>
      <c r="F32" s="31">
        <f ca="1">'Tilmeldte måltider'!I$542</f>
        <v>31</v>
      </c>
      <c r="G32" s="31">
        <f ca="1">'Tilmeldte måltider'!I$602</f>
        <v>30</v>
      </c>
      <c r="H32" s="31">
        <f ca="1">'Tilmeldte måltider'!I$662</f>
        <v>31</v>
      </c>
      <c r="I32" s="35">
        <f t="shared" ca="1" si="2"/>
        <v>184</v>
      </c>
      <c r="J32" s="225">
        <f ca="1">$T$18/$R$16</f>
        <v>1</v>
      </c>
      <c r="K32" s="226"/>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row>
    <row r="33" spans="2:11" ht="21.95" customHeight="1" thickBot="1" x14ac:dyDescent="0.4">
      <c r="B33" s="107" t="str">
        <f>Aftensmad</f>
        <v>Aftensmad</v>
      </c>
      <c r="C33" s="31">
        <f ca="1">'Tilmeldte måltider'!K$362</f>
        <v>31</v>
      </c>
      <c r="D33" s="31">
        <f ca="1">'Tilmeldte måltider'!K$422</f>
        <v>31</v>
      </c>
      <c r="E33" s="31">
        <f ca="1">'Tilmeldte måltider'!K$482</f>
        <v>30</v>
      </c>
      <c r="F33" s="31">
        <f ca="1">'Tilmeldte måltider'!K$542</f>
        <v>31</v>
      </c>
      <c r="G33" s="31">
        <f ca="1">'Tilmeldte måltider'!K$602</f>
        <v>30</v>
      </c>
      <c r="H33" s="31">
        <f ca="1">'Tilmeldte måltider'!K$662</f>
        <v>31</v>
      </c>
      <c r="I33" s="35">
        <f t="shared" ca="1" si="2"/>
        <v>184</v>
      </c>
      <c r="J33" s="225">
        <f ca="1">$U$18/$R$16</f>
        <v>1</v>
      </c>
      <c r="K33" s="226"/>
    </row>
    <row r="34" spans="2:11" ht="21.95" customHeight="1" thickBot="1" x14ac:dyDescent="0.4">
      <c r="B34" s="107" t="str">
        <f>biret</f>
        <v>Biret</v>
      </c>
      <c r="C34" s="31">
        <f ca="1">'Tilmeldte måltider'!G363</f>
        <v>31</v>
      </c>
      <c r="D34" s="31">
        <f ca="1">'Tilmeldte måltider'!G423</f>
        <v>31</v>
      </c>
      <c r="E34" s="31">
        <f ca="1">'Tilmeldte måltider'!G483</f>
        <v>30</v>
      </c>
      <c r="F34" s="31">
        <f ca="1">'Tilmeldte måltider'!G543</f>
        <v>31</v>
      </c>
      <c r="G34" s="31">
        <f ca="1">'Tilmeldte måltider'!G603</f>
        <v>30</v>
      </c>
      <c r="H34" s="31">
        <f ca="1">'Tilmeldte måltider'!G663</f>
        <v>31</v>
      </c>
      <c r="I34" s="35">
        <f t="shared" ca="1" si="2"/>
        <v>184</v>
      </c>
      <c r="J34" s="225">
        <f ca="1">$V$18/$R$16</f>
        <v>1</v>
      </c>
      <c r="K34" s="226"/>
    </row>
    <row r="35" spans="2:11" ht="21.95" customHeight="1" thickBot="1" x14ac:dyDescent="0.4">
      <c r="B35" s="107" t="str">
        <f>mellemmåltid</f>
        <v>Mellemmåltid</v>
      </c>
      <c r="C35" s="31">
        <f ca="1">'Tilmeldte måltider'!I363</f>
        <v>0</v>
      </c>
      <c r="D35" s="31">
        <f ca="1">'Tilmeldte måltider'!I423</f>
        <v>0</v>
      </c>
      <c r="E35" s="31">
        <f ca="1">'Tilmeldte måltider'!I483</f>
        <v>0</v>
      </c>
      <c r="F35" s="31">
        <f ca="1">'Tilmeldte måltider'!I543</f>
        <v>0</v>
      </c>
      <c r="G35" s="31">
        <f ca="1">'Tilmeldte måltider'!I603</f>
        <v>0</v>
      </c>
      <c r="H35" s="31">
        <f ca="1">'Tilmeldte måltider'!I663</f>
        <v>0</v>
      </c>
      <c r="I35" s="35">
        <f t="shared" ca="1" si="2"/>
        <v>0</v>
      </c>
      <c r="J35" s="225">
        <f ca="1">$W$18/$R$16</f>
        <v>0</v>
      </c>
      <c r="K35" s="226"/>
    </row>
    <row r="36" spans="2:11" ht="21.95" customHeight="1" thickBot="1" x14ac:dyDescent="0.3">
      <c r="B36" s="40" t="s">
        <v>111</v>
      </c>
      <c r="C36" s="40">
        <f ca="1">'Tilmeldte måltider'!L362</f>
        <v>3000</v>
      </c>
      <c r="D36" s="40">
        <f ca="1">'Tilmeldte måltider'!L422</f>
        <v>3000</v>
      </c>
      <c r="E36" s="40">
        <f ca="1">'Tilmeldte måltider'!L482</f>
        <v>3000</v>
      </c>
      <c r="F36" s="40">
        <f ca="1">'Tilmeldte måltider'!$L$542</f>
        <v>3000</v>
      </c>
      <c r="G36" s="40">
        <f ca="1">'Tilmeldte måltider'!$L$602</f>
        <v>3000</v>
      </c>
      <c r="H36" s="40">
        <f ca="1">'Tilmeldte måltider'!$L$662</f>
        <v>3000</v>
      </c>
      <c r="I36" s="41">
        <f t="shared" ca="1" si="2"/>
        <v>18000</v>
      </c>
      <c r="J36" s="229">
        <f ca="1">AVERAGE(J31:K35)</f>
        <v>0.8</v>
      </c>
      <c r="K36" s="230"/>
    </row>
    <row r="37" spans="2:11" ht="42.75" customHeight="1" thickBot="1" x14ac:dyDescent="0.4">
      <c r="B37" s="231" t="s">
        <v>90</v>
      </c>
      <c r="C37" s="231"/>
      <c r="D37" s="231"/>
      <c r="E37" s="29"/>
      <c r="F37" s="29"/>
      <c r="G37" s="29"/>
      <c r="H37" s="29"/>
    </row>
    <row r="38" spans="2:11" ht="21.95" customHeight="1" thickBot="1" x14ac:dyDescent="0.3">
      <c r="B38" s="30" t="s">
        <v>91</v>
      </c>
      <c r="C38" s="30" t="s">
        <v>60</v>
      </c>
      <c r="D38" s="30" t="s">
        <v>61</v>
      </c>
      <c r="E38" s="30" t="s">
        <v>62</v>
      </c>
      <c r="F38" s="30" t="s">
        <v>63</v>
      </c>
      <c r="G38" s="30" t="s">
        <v>64</v>
      </c>
      <c r="H38" s="30" t="s">
        <v>65</v>
      </c>
      <c r="I38" s="36" t="s">
        <v>72</v>
      </c>
      <c r="J38" s="223" t="s">
        <v>73</v>
      </c>
      <c r="K38" s="224"/>
    </row>
    <row r="39" spans="2:11" ht="21.95" customHeight="1" thickBot="1" x14ac:dyDescent="0.4">
      <c r="B39" s="107" t="str">
        <f>Morgenmad</f>
        <v>Morgenmad</v>
      </c>
      <c r="C39" s="119">
        <f ca="1">'Til- og framelding'!G3</f>
        <v>0</v>
      </c>
      <c r="D39" s="31">
        <f ca="1">'Til- og framelding'!G62</f>
        <v>0</v>
      </c>
      <c r="E39" s="31">
        <f ca="1">'Til- og framelding'!G121</f>
        <v>0</v>
      </c>
      <c r="F39" s="31">
        <f ca="1">'Til- og framelding'!G180</f>
        <v>0</v>
      </c>
      <c r="G39" s="31">
        <f ca="1">'Til- og framelding'!G239</f>
        <v>0</v>
      </c>
      <c r="H39" s="31">
        <f ca="1">'Til- og framelding'!G298</f>
        <v>0</v>
      </c>
      <c r="I39" s="35">
        <f ca="1">SUM(C39:H39)</f>
        <v>0</v>
      </c>
      <c r="J39" s="225">
        <f ca="1">(I24+I39)/$P$16</f>
        <v>0.99450549450549453</v>
      </c>
      <c r="K39" s="226"/>
    </row>
    <row r="40" spans="2:11" ht="21.95" customHeight="1" thickBot="1" x14ac:dyDescent="0.4">
      <c r="B40" s="107" t="str">
        <f>hovedret</f>
        <v>Hovedret</v>
      </c>
      <c r="C40" s="119">
        <f ca="1">'Til- og framelding'!I3</f>
        <v>0</v>
      </c>
      <c r="D40" s="31">
        <f ca="1">'Til- og framelding'!I62</f>
        <v>0</v>
      </c>
      <c r="E40" s="31">
        <f ca="1">'Til- og framelding'!I121</f>
        <v>0</v>
      </c>
      <c r="F40" s="31">
        <f ca="1">'Til- og framelding'!I180</f>
        <v>0</v>
      </c>
      <c r="G40" s="31">
        <f ca="1">'Til- og framelding'!I239</f>
        <v>0</v>
      </c>
      <c r="H40" s="31">
        <f ca="1">'Til- og framelding'!I298</f>
        <v>0</v>
      </c>
      <c r="I40" s="35">
        <f ca="1">SUM(C40:H40)</f>
        <v>0</v>
      </c>
      <c r="J40" s="225">
        <f ca="1">(I25+I40)/$P$16</f>
        <v>0.82417582417582413</v>
      </c>
      <c r="K40" s="226"/>
    </row>
    <row r="41" spans="2:11" ht="21.95" customHeight="1" thickBot="1" x14ac:dyDescent="0.4">
      <c r="B41" s="107" t="str">
        <f>Aftensmad</f>
        <v>Aftensmad</v>
      </c>
      <c r="C41" s="119">
        <f ca="1">'Til- og framelding'!K3</f>
        <v>-1</v>
      </c>
      <c r="D41" s="31">
        <f ca="1">'Til- og framelding'!K62</f>
        <v>0</v>
      </c>
      <c r="E41" s="31">
        <f ca="1">'Til- og framelding'!K121</f>
        <v>0</v>
      </c>
      <c r="F41" s="31">
        <f ca="1">'Til- og framelding'!K180</f>
        <v>0</v>
      </c>
      <c r="G41" s="31">
        <f ca="1">'Til- og framelding'!K239</f>
        <v>0</v>
      </c>
      <c r="H41" s="31">
        <f ca="1">'Til- og framelding'!K298</f>
        <v>0</v>
      </c>
      <c r="I41" s="35">
        <f ca="1">SUM(C41:H41)</f>
        <v>-1</v>
      </c>
      <c r="J41" s="225">
        <f ca="1">(I26+I41)/$P$16</f>
        <v>0.81868131868131866</v>
      </c>
      <c r="K41" s="226"/>
    </row>
    <row r="42" spans="2:11" ht="21.95" customHeight="1" thickBot="1" x14ac:dyDescent="0.4">
      <c r="B42" s="107" t="str">
        <f>biret</f>
        <v>Biret</v>
      </c>
      <c r="C42" s="119">
        <f ca="1">'Til- og framelding'!G4</f>
        <v>-1</v>
      </c>
      <c r="D42" s="31">
        <f ca="1">'Til- og framelding'!G63</f>
        <v>0</v>
      </c>
      <c r="E42" s="31">
        <f ca="1">'Til- og framelding'!G122</f>
        <v>0</v>
      </c>
      <c r="F42" s="31">
        <f ca="1">'Til- og framelding'!G181</f>
        <v>0</v>
      </c>
      <c r="G42" s="31">
        <f ca="1">'Til- og framelding'!G240</f>
        <v>0</v>
      </c>
      <c r="H42" s="31">
        <f ca="1">'Til- og framelding'!G299</f>
        <v>0</v>
      </c>
      <c r="I42" s="35">
        <f ca="1">SUM(C42:H42)</f>
        <v>-1</v>
      </c>
      <c r="J42" s="225">
        <f ca="1">($P$16+I42)/$P$16</f>
        <v>0.99450549450549453</v>
      </c>
      <c r="K42" s="226"/>
    </row>
    <row r="43" spans="2:11" ht="21.95" customHeight="1" thickBot="1" x14ac:dyDescent="0.4">
      <c r="B43" s="107" t="str">
        <f>mellemmåltid</f>
        <v>Mellemmåltid</v>
      </c>
      <c r="C43" s="119">
        <f ca="1">'Til- og framelding'!I4</f>
        <v>0</v>
      </c>
      <c r="D43" s="31">
        <f ca="1">'Til- og framelding'!I63</f>
        <v>0</v>
      </c>
      <c r="E43" s="31">
        <f ca="1">'Til- og framelding'!I122</f>
        <v>0</v>
      </c>
      <c r="F43" s="31">
        <f ca="1">'Til- og framelding'!I181</f>
        <v>0</v>
      </c>
      <c r="G43" s="31">
        <f ca="1">'Til- og framelding'!I240</f>
        <v>0</v>
      </c>
      <c r="H43" s="31">
        <f ca="1">'Til- og framelding'!I299</f>
        <v>0</v>
      </c>
      <c r="I43" s="35">
        <f ca="1">SUM(C43:H43)</f>
        <v>0</v>
      </c>
      <c r="J43" s="225">
        <f ca="1">($P$16+I43)/$P$16</f>
        <v>1</v>
      </c>
      <c r="K43" s="226"/>
    </row>
    <row r="44" spans="2:11" ht="21.95" customHeight="1" thickBot="1" x14ac:dyDescent="0.3">
      <c r="B44" s="40" t="s">
        <v>112</v>
      </c>
      <c r="C44" s="129" t="e">
        <f ca="1">'Til- og framelding'!L3</f>
        <v>#VALUE!</v>
      </c>
      <c r="D44" s="32" t="e">
        <f ca="1">'Til- og framelding'!L62</f>
        <v>#VALUE!</v>
      </c>
      <c r="E44" s="32" t="e">
        <f ca="1">'Til- og framelding'!L121</f>
        <v>#VALUE!</v>
      </c>
      <c r="F44" s="32" t="e">
        <f ca="1">'Til- og framelding'!L180</f>
        <v>#VALUE!</v>
      </c>
      <c r="G44" s="32" t="e">
        <f ca="1">'Til- og framelding'!L239</f>
        <v>#VALUE!</v>
      </c>
      <c r="H44" s="32" t="e">
        <f ca="1">'Til- og framelding'!L298</f>
        <v>#VALUE!</v>
      </c>
      <c r="I44" s="33" t="e">
        <f t="shared" ref="I44" ca="1" si="3">SUM(D44:H44)</f>
        <v>#VALUE!</v>
      </c>
      <c r="J44" s="229">
        <f ca="1">AVERAGE(J39:K43)</f>
        <v>0.9263736263736263</v>
      </c>
      <c r="K44" s="230"/>
    </row>
    <row r="45" spans="2:11" ht="21.95" customHeight="1" thickBot="1" x14ac:dyDescent="0.4">
      <c r="B45" s="30" t="s">
        <v>92</v>
      </c>
      <c r="C45" s="30" t="s">
        <v>66</v>
      </c>
      <c r="D45" s="30" t="s">
        <v>67</v>
      </c>
      <c r="E45" s="30" t="s">
        <v>68</v>
      </c>
      <c r="F45" s="30" t="s">
        <v>69</v>
      </c>
      <c r="G45" s="30" t="s">
        <v>70</v>
      </c>
      <c r="H45" s="30" t="s">
        <v>71</v>
      </c>
      <c r="I45" s="34" t="s">
        <v>72</v>
      </c>
      <c r="J45" s="227"/>
      <c r="K45" s="228"/>
    </row>
    <row r="46" spans="2:11" ht="21.95" customHeight="1" thickBot="1" x14ac:dyDescent="0.4">
      <c r="B46" s="107" t="str">
        <f>Morgenmad</f>
        <v>Morgenmad</v>
      </c>
      <c r="C46" s="31">
        <f ca="1">'Til- og framelding'!G357</f>
        <v>0</v>
      </c>
      <c r="D46" s="31">
        <f ca="1">'Til- og framelding'!G416</f>
        <v>0</v>
      </c>
      <c r="E46" s="31">
        <f ca="1">'Til- og framelding'!G475</f>
        <v>0</v>
      </c>
      <c r="F46" s="31">
        <f ca="1">'Til- og framelding'!G534</f>
        <v>0</v>
      </c>
      <c r="G46" s="31">
        <f ca="1">'Til- og framelding'!G593</f>
        <v>0</v>
      </c>
      <c r="H46" s="31">
        <f ca="1">'Til- og framelding'!G652</f>
        <v>0</v>
      </c>
      <c r="I46" s="35">
        <f ca="1">SUM(C46:H46)</f>
        <v>0</v>
      </c>
      <c r="J46" s="225">
        <f ca="1">(I31+I46)/$R$16</f>
        <v>1</v>
      </c>
      <c r="K46" s="226"/>
    </row>
    <row r="47" spans="2:11" ht="21.95" customHeight="1" thickBot="1" x14ac:dyDescent="0.4">
      <c r="B47" s="107" t="str">
        <f>hovedret</f>
        <v>Hovedret</v>
      </c>
      <c r="C47" s="31">
        <f ca="1">'Til- og framelding'!I357</f>
        <v>0</v>
      </c>
      <c r="D47" s="31">
        <f ca="1">'Til- og framelding'!I416</f>
        <v>0</v>
      </c>
      <c r="E47" s="31">
        <f ca="1">'Til- og framelding'!I475</f>
        <v>0</v>
      </c>
      <c r="F47" s="31">
        <f ca="1">'Til- og framelding'!I534</f>
        <v>0</v>
      </c>
      <c r="G47" s="31">
        <f ca="1">'Til- og framelding'!I593</f>
        <v>0</v>
      </c>
      <c r="H47" s="31">
        <f ca="1">'Til- og framelding'!I652</f>
        <v>0</v>
      </c>
      <c r="I47" s="35">
        <f t="shared" ref="I47:I51" ca="1" si="4">SUM(C47:H47)</f>
        <v>0</v>
      </c>
      <c r="J47" s="225">
        <f ca="1">(I32+I47)/$R$16</f>
        <v>1</v>
      </c>
      <c r="K47" s="226"/>
    </row>
    <row r="48" spans="2:11" ht="21.95" customHeight="1" thickBot="1" x14ac:dyDescent="0.4">
      <c r="B48" s="107" t="str">
        <f>Aftensmad</f>
        <v>Aftensmad</v>
      </c>
      <c r="C48" s="31">
        <f ca="1">'Til- og framelding'!K357</f>
        <v>0</v>
      </c>
      <c r="D48" s="31">
        <f ca="1">'Til- og framelding'!K416</f>
        <v>0</v>
      </c>
      <c r="E48" s="31">
        <f ca="1">'Til- og framelding'!K475</f>
        <v>0</v>
      </c>
      <c r="F48" s="31">
        <f ca="1">'Til- og framelding'!K534</f>
        <v>0</v>
      </c>
      <c r="G48" s="31">
        <f ca="1">'Til- og framelding'!K593</f>
        <v>0</v>
      </c>
      <c r="H48" s="31">
        <f ca="1">'Til- og framelding'!K652</f>
        <v>0</v>
      </c>
      <c r="I48" s="35">
        <f t="shared" ca="1" si="4"/>
        <v>0</v>
      </c>
      <c r="J48" s="225">
        <f ca="1">(I33+I48)/$R$16</f>
        <v>1</v>
      </c>
      <c r="K48" s="226"/>
    </row>
    <row r="49" spans="2:11" ht="21.95" customHeight="1" thickBot="1" x14ac:dyDescent="0.4">
      <c r="B49" s="107" t="str">
        <f>biret</f>
        <v>Biret</v>
      </c>
      <c r="C49" s="31">
        <f ca="1">'Til- og framelding'!G358</f>
        <v>0</v>
      </c>
      <c r="D49" s="31">
        <f ca="1">'Til- og framelding'!G417</f>
        <v>0</v>
      </c>
      <c r="E49" s="31">
        <f ca="1">'Til- og framelding'!G476</f>
        <v>0</v>
      </c>
      <c r="F49" s="31">
        <f ca="1">'Til- og framelding'!G535</f>
        <v>0</v>
      </c>
      <c r="G49" s="31">
        <f ca="1">'Til- og framelding'!G594</f>
        <v>0</v>
      </c>
      <c r="H49" s="31">
        <f ca="1">'Til- og framelding'!G653</f>
        <v>0</v>
      </c>
      <c r="I49" s="35">
        <f t="shared" ca="1" si="4"/>
        <v>0</v>
      </c>
      <c r="J49" s="225">
        <f ca="1">($P$16+I49)/$P$16</f>
        <v>1</v>
      </c>
      <c r="K49" s="226"/>
    </row>
    <row r="50" spans="2:11" ht="21.95" customHeight="1" thickBot="1" x14ac:dyDescent="0.4">
      <c r="B50" s="107" t="str">
        <f>mellemmåltid</f>
        <v>Mellemmåltid</v>
      </c>
      <c r="C50" s="31">
        <f ca="1">'Til- og framelding'!I358</f>
        <v>0</v>
      </c>
      <c r="D50" s="31">
        <f ca="1">'Til- og framelding'!I417</f>
        <v>0</v>
      </c>
      <c r="E50" s="31">
        <f ca="1">'Til- og framelding'!I476</f>
        <v>0</v>
      </c>
      <c r="F50" s="31">
        <f ca="1">'Til- og framelding'!I535</f>
        <v>0</v>
      </c>
      <c r="G50" s="31">
        <f ca="1">'Til- og framelding'!I594</f>
        <v>0</v>
      </c>
      <c r="H50" s="31">
        <f ca="1">'Til- og framelding'!I653</f>
        <v>0</v>
      </c>
      <c r="I50" s="35">
        <f t="shared" ca="1" si="4"/>
        <v>0</v>
      </c>
      <c r="J50" s="225">
        <f ca="1">($P$16+I50)/$P$16</f>
        <v>1</v>
      </c>
      <c r="K50" s="226"/>
    </row>
    <row r="51" spans="2:11" ht="21.95" customHeight="1" thickBot="1" x14ac:dyDescent="0.3">
      <c r="B51" s="40" t="s">
        <v>112</v>
      </c>
      <c r="C51" s="32" t="e">
        <f ca="1">'Til- og framelding'!L357</f>
        <v>#VALUE!</v>
      </c>
      <c r="D51" s="32" t="e">
        <f ca="1">'Til- og framelding'!L416</f>
        <v>#VALUE!</v>
      </c>
      <c r="E51" s="32" t="e">
        <f ca="1">'Til- og framelding'!L475</f>
        <v>#VALUE!</v>
      </c>
      <c r="F51" s="32" t="e">
        <f ca="1">'Til- og framelding'!L534</f>
        <v>#VALUE!</v>
      </c>
      <c r="G51" s="32" t="e">
        <f ca="1">'Til- og framelding'!L593</f>
        <v>#VALUE!</v>
      </c>
      <c r="H51" s="32" t="e">
        <f ca="1">'Til- og framelding'!L652</f>
        <v>#VALUE!</v>
      </c>
      <c r="I51" s="33" t="e">
        <f t="shared" ca="1" si="4"/>
        <v>#VALUE!</v>
      </c>
      <c r="J51" s="229">
        <f ca="1">AVERAGE(J46:K50)</f>
        <v>1</v>
      </c>
      <c r="K51" s="230"/>
    </row>
  </sheetData>
  <sheetProtection selectLockedCells="1"/>
  <mergeCells count="36">
    <mergeCell ref="J31:K31"/>
    <mergeCell ref="J34:K34"/>
    <mergeCell ref="J35:K35"/>
    <mergeCell ref="J47:K47"/>
    <mergeCell ref="J32:K32"/>
    <mergeCell ref="J33:K33"/>
    <mergeCell ref="J36:K36"/>
    <mergeCell ref="J38:K38"/>
    <mergeCell ref="J39:K39"/>
    <mergeCell ref="J48:K48"/>
    <mergeCell ref="J51:K51"/>
    <mergeCell ref="J40:K40"/>
    <mergeCell ref="J41:K41"/>
    <mergeCell ref="J44:K44"/>
    <mergeCell ref="J45:K45"/>
    <mergeCell ref="J46:K46"/>
    <mergeCell ref="J42:K42"/>
    <mergeCell ref="J43:K43"/>
    <mergeCell ref="J49:K49"/>
    <mergeCell ref="J50:K50"/>
    <mergeCell ref="B37:D37"/>
    <mergeCell ref="C1:H1"/>
    <mergeCell ref="C2:H2"/>
    <mergeCell ref="C3:H3"/>
    <mergeCell ref="C4:H4"/>
    <mergeCell ref="B22:D22"/>
    <mergeCell ref="B14:C14"/>
    <mergeCell ref="C11:I11"/>
    <mergeCell ref="J23:K23"/>
    <mergeCell ref="J24:K24"/>
    <mergeCell ref="J25:K25"/>
    <mergeCell ref="J26:K26"/>
    <mergeCell ref="J30:K30"/>
    <mergeCell ref="J27:K27"/>
    <mergeCell ref="J28:K28"/>
    <mergeCell ref="J29:K29"/>
  </mergeCells>
  <pageMargins left="0.3" right="0.45" top="0.74803149606299213" bottom="0.74803149606299213" header="0.31496062992125984" footer="0.31496062992125984"/>
  <pageSetup paperSize="9" scale="54" orientation="portrait" r:id="rId1"/>
  <headerFooter>
    <oddHeader>&amp;R&amp;G</oddHeader>
  </headerFooter>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27" id="{958C11B7-0FBD-4EEA-AC4C-4C50EB3491A0}">
            <xm:f>Betalingsopgørelse!$C$7=Dataark!$L$11</xm:f>
            <x14:dxf>
              <font>
                <color rgb="FF77A3A5"/>
              </font>
            </x14:dxf>
          </x14:cfRule>
          <xm:sqref>B10:B11</xm:sqref>
        </x14:conditionalFormatting>
        <x14:conditionalFormatting xmlns:xm="http://schemas.microsoft.com/office/excel/2006/main">
          <x14:cfRule type="expression" priority="20" id="{507B147D-BCD0-437D-A789-8276E7402CCA}">
            <xm:f>Betalingsopgørelse!$C$7=Dataark!$L$18</xm:f>
            <x14:dxf>
              <font>
                <color rgb="FF77A3A5"/>
              </font>
            </x14:dxf>
          </x14:cfRule>
          <x14:cfRule type="expression" priority="21" id="{AEE20361-257C-4BD8-BB35-4BE4CB0373FD}">
            <xm:f>Betalingsopgørelse!$C$7=Dataark!$L$17</xm:f>
            <x14:dxf>
              <font>
                <color rgb="FF77A3A5"/>
              </font>
            </x14:dxf>
          </x14:cfRule>
          <x14:cfRule type="expression" priority="22" id="{51BBB1C7-C253-4475-9EBC-A99F81FC5383}">
            <xm:f>Betalingsopgørelse!$C$7=Dataark!$L$16</xm:f>
            <x14:dxf>
              <font>
                <color rgb="FF77A3A5"/>
              </font>
            </x14:dxf>
          </x14:cfRule>
          <x14:cfRule type="expression" priority="23" id="{88168EB5-2AFC-40F3-AFA4-38FD46F4E1AF}">
            <xm:f>Betalingsopgørelse!$C$7=Dataark!$L$15</xm:f>
            <x14:dxf>
              <font>
                <color rgb="FF77A3A5"/>
              </font>
            </x14:dxf>
          </x14:cfRule>
          <x14:cfRule type="expression" priority="24" id="{D9BADD17-56C3-43B8-981D-40F0E3DFDF2C}">
            <xm:f>Betalingsopgørelse!$C$7=Dataark!$L$14</xm:f>
            <x14:dxf>
              <font>
                <color rgb="FF77A3A5"/>
              </font>
            </x14:dxf>
          </x14:cfRule>
          <x14:cfRule type="expression" priority="25" id="{BB37F5E8-17CA-46CC-BF05-9CE2269F04AB}">
            <xm:f>Betalingsopgørelse!$C$7=Dataark!$L$13</xm:f>
            <x14:dxf>
              <font>
                <color rgb="FF77A3A5"/>
              </font>
            </x14:dxf>
          </x14:cfRule>
          <x14:cfRule type="expression" priority="26" id="{DEB3F755-0FD4-4161-82B2-F8E4172309A3}">
            <xm:f>Betalingsopgørelse!$C$7=Dataark!$L$12</xm:f>
            <x14:dxf>
              <font>
                <color rgb="FF77A3A5"/>
              </font>
            </x14:dxf>
          </x14:cfRule>
          <xm:sqref>B10</xm:sqref>
        </x14:conditionalFormatting>
        <x14:conditionalFormatting xmlns:xm="http://schemas.microsoft.com/office/excel/2006/main">
          <x14:cfRule type="expression" priority="13" id="{6959397A-0ACF-4F07-8653-31FA3015912B}">
            <xm:f>Betalingsopgørelse!$C$7=Dataark!$L$17</xm:f>
            <x14:dxf>
              <font>
                <color theme="1"/>
              </font>
              <fill>
                <patternFill>
                  <bgColor theme="1"/>
                </patternFill>
              </fill>
            </x14:dxf>
          </x14:cfRule>
          <xm:sqref>I7</xm:sqref>
        </x14:conditionalFormatting>
        <x14:conditionalFormatting xmlns:xm="http://schemas.microsoft.com/office/excel/2006/main">
          <x14:cfRule type="expression" priority="12" id="{09D1979B-C742-44CD-AD1E-E1D909081BBE}">
            <xm:f>Betalingsopgørelse!$C$7=Dataark!$L$18</xm:f>
            <x14:dxf>
              <font>
                <color theme="1"/>
              </font>
              <fill>
                <patternFill>
                  <bgColor theme="1"/>
                </patternFill>
              </fill>
            </x14:dxf>
          </x14:cfRule>
          <xm:sqref>I7</xm:sqref>
        </x14:conditionalFormatting>
        <x14:conditionalFormatting xmlns:xm="http://schemas.microsoft.com/office/excel/2006/main">
          <x14:cfRule type="expression" priority="14" id="{0CECD5E5-63BD-4C42-BAC1-DFC6FD223A41}">
            <xm:f>Betalingsopgørelse!$C$7=Dataark!$L$16</xm:f>
            <x14:dxf>
              <font>
                <color theme="1"/>
              </font>
              <fill>
                <patternFill>
                  <bgColor theme="1"/>
                </patternFill>
              </fill>
            </x14:dxf>
          </x14:cfRule>
          <xm:sqref>I7</xm:sqref>
        </x14:conditionalFormatting>
        <x14:conditionalFormatting xmlns:xm="http://schemas.microsoft.com/office/excel/2006/main">
          <x14:cfRule type="expression" priority="16" id="{B476565D-38C9-4A53-999B-476AC23B452B}">
            <xm:f>Betalingsopgørelse!$C$7=Dataark!$L$14</xm:f>
            <x14:dxf>
              <font>
                <color theme="1"/>
              </font>
              <fill>
                <patternFill>
                  <bgColor theme="1"/>
                </patternFill>
              </fill>
            </x14:dxf>
          </x14:cfRule>
          <xm:sqref>I7</xm:sqref>
        </x14:conditionalFormatting>
        <x14:conditionalFormatting xmlns:xm="http://schemas.microsoft.com/office/excel/2006/main">
          <x14:cfRule type="expression" priority="5" id="{E53B7130-4B0E-4698-8A3F-16ED17356977}">
            <xm:f>Betalingsopgørelse!$C$7=Dataark!$L$18</xm:f>
            <x14:dxf>
              <font>
                <color rgb="FF77A3A5"/>
              </font>
            </x14:dxf>
          </x14:cfRule>
          <x14:cfRule type="expression" priority="6" id="{45C4AB7E-DA66-4FBE-87C8-C220C83A1861}">
            <xm:f>Betalingsopgørelse!$C$7=Dataark!$L$17</xm:f>
            <x14:dxf>
              <font>
                <color rgb="FF77A3A5"/>
              </font>
            </x14:dxf>
          </x14:cfRule>
          <x14:cfRule type="expression" priority="7" id="{B0B95D53-A7CC-4587-8D27-B8B193CE41E6}">
            <xm:f>Betalingsopgørelse!$C$7=Dataark!$L$16</xm:f>
            <x14:dxf>
              <font>
                <color rgb="FF77A3A5"/>
              </font>
            </x14:dxf>
          </x14:cfRule>
          <x14:cfRule type="expression" priority="8" id="{197D65EF-8C56-4401-8CAE-63B527A65A12}">
            <xm:f>Betalingsopgørelse!$C$7=Dataark!$L$15</xm:f>
            <x14:dxf>
              <font>
                <color rgb="FF77A3A5"/>
              </font>
            </x14:dxf>
          </x14:cfRule>
          <x14:cfRule type="expression" priority="9" id="{E57655A6-34FB-40E6-89DE-7D1778F03AAC}">
            <xm:f>Betalingsopgørelse!$C$7=Dataark!$L$14</xm:f>
            <x14:dxf>
              <font>
                <color rgb="FF77A3A5"/>
              </font>
            </x14:dxf>
          </x14:cfRule>
          <x14:cfRule type="expression" priority="10" id="{FF13AED4-B621-4ADB-8D08-9972DC6709D9}">
            <xm:f>Betalingsopgørelse!$C$7=Dataark!$L$13</xm:f>
            <x14:dxf>
              <font>
                <color rgb="FF77A3A5"/>
              </font>
            </x14:dxf>
          </x14:cfRule>
          <x14:cfRule type="expression" priority="11" id="{B3CD8293-EA5A-403A-B01D-8F76270D780D}">
            <xm:f>Betalingsopgørelse!$C$7=Dataark!$L$12</xm:f>
            <x14:dxf>
              <font>
                <color rgb="FF77A3A5"/>
              </font>
            </x14:dxf>
          </x14:cfRule>
          <xm:sqref>B11</xm:sqref>
        </x14:conditionalFormatting>
        <x14:conditionalFormatting xmlns:xm="http://schemas.microsoft.com/office/excel/2006/main">
          <x14:cfRule type="expression" priority="2" id="{238B0B18-8EB5-4CDF-8099-1594EE7068CE}">
            <xm:f>Betalingsopgørelse!$C$7=Dataark!$L$17</xm:f>
            <x14:dxf>
              <font>
                <color theme="1"/>
              </font>
              <fill>
                <patternFill>
                  <bgColor theme="1"/>
                </patternFill>
              </fill>
            </x14:dxf>
          </x14:cfRule>
          <xm:sqref>I8:I10</xm:sqref>
        </x14:conditionalFormatting>
        <x14:conditionalFormatting xmlns:xm="http://schemas.microsoft.com/office/excel/2006/main">
          <x14:cfRule type="expression" priority="1" id="{AA80D36C-4906-43F6-8DE9-F949908DD209}">
            <xm:f>Betalingsopgørelse!$C$7=Dataark!$L$18</xm:f>
            <x14:dxf>
              <font>
                <color theme="1"/>
              </font>
              <fill>
                <patternFill>
                  <bgColor theme="1"/>
                </patternFill>
              </fill>
            </x14:dxf>
          </x14:cfRule>
          <xm:sqref>I8:I10</xm:sqref>
        </x14:conditionalFormatting>
        <x14:conditionalFormatting xmlns:xm="http://schemas.microsoft.com/office/excel/2006/main">
          <x14:cfRule type="expression" priority="3" id="{41D59AF1-CAB4-4A36-9861-EF5C2FFC0A44}">
            <xm:f>Betalingsopgørelse!$C$7=Dataark!$L$16</xm:f>
            <x14:dxf>
              <font>
                <color theme="1"/>
              </font>
              <fill>
                <patternFill>
                  <bgColor theme="1"/>
                </patternFill>
              </fill>
            </x14:dxf>
          </x14:cfRule>
          <xm:sqref>I8:I10</xm:sqref>
        </x14:conditionalFormatting>
        <x14:conditionalFormatting xmlns:xm="http://schemas.microsoft.com/office/excel/2006/main">
          <x14:cfRule type="expression" priority="4" id="{C1311F0F-7A42-486D-8BB3-FD41C388B2FE}">
            <xm:f>Betalingsopgørelse!$C$7=Dataark!$L$14</xm:f>
            <x14:dxf>
              <font>
                <color theme="1"/>
              </font>
              <fill>
                <patternFill>
                  <bgColor theme="1"/>
                </patternFill>
              </fill>
            </x14:dxf>
          </x14:cfRule>
          <xm:sqref>I8:I10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19C93-B7A0-4EFC-98EC-88A60FB48799}">
  <sheetPr codeName="Ark3">
    <tabColor theme="4"/>
    <pageSetUpPr autoPageBreaks="0"/>
  </sheetPr>
  <dimension ref="A1:R719"/>
  <sheetViews>
    <sheetView showGridLines="0" topLeftCell="A61" zoomScale="130" zoomScaleNormal="130" workbookViewId="0">
      <selection activeCell="B69" sqref="B69:C73"/>
    </sheetView>
  </sheetViews>
  <sheetFormatPr defaultColWidth="9.140625" defaultRowHeight="11.25" x14ac:dyDescent="0.2"/>
  <cols>
    <col min="1" max="1" width="1.5703125" style="50" customWidth="1"/>
    <col min="2" max="2" width="11.28515625" style="93" customWidth="1"/>
    <col min="3" max="3" width="11.28515625" style="94" customWidth="1"/>
    <col min="4" max="4" width="11.28515625" style="93" customWidth="1"/>
    <col min="5" max="5" width="11.28515625" style="94" customWidth="1"/>
    <col min="6" max="6" width="11.28515625" style="93" customWidth="1"/>
    <col min="7" max="7" width="11.28515625" style="94" customWidth="1"/>
    <col min="8" max="8" width="12.28515625" style="93" customWidth="1"/>
    <col min="9" max="9" width="11.28515625" style="94" customWidth="1"/>
    <col min="10" max="10" width="11.28515625" style="93" customWidth="1"/>
    <col min="11" max="11" width="11.28515625" style="94" customWidth="1"/>
    <col min="12" max="12" width="11.28515625" style="93" customWidth="1"/>
    <col min="13" max="13" width="11.28515625" style="94" customWidth="1"/>
    <col min="14" max="14" width="11.28515625" style="93" customWidth="1"/>
    <col min="15" max="15" width="11.28515625" style="94" customWidth="1"/>
    <col min="16" max="16" width="14.28515625" style="93" customWidth="1"/>
    <col min="17" max="16384" width="9.140625" style="49"/>
  </cols>
  <sheetData>
    <row r="1" spans="1:18" ht="18" customHeight="1" x14ac:dyDescent="0.25">
      <c r="A1" s="48"/>
      <c r="B1" s="245">
        <f>Betalingsopgørelse!D6</f>
        <v>2024</v>
      </c>
      <c r="C1" s="245"/>
      <c r="D1" s="245"/>
      <c r="E1" s="245"/>
      <c r="F1" s="245"/>
      <c r="G1" s="13" t="s">
        <v>56</v>
      </c>
      <c r="H1" s="14" t="str">
        <f>IF(navn&gt;0,navn," ")</f>
        <v>SKABELON</v>
      </c>
      <c r="I1" s="13"/>
      <c r="J1" s="14"/>
      <c r="K1" s="13" t="s">
        <v>59</v>
      </c>
      <c r="L1" s="262" t="str">
        <f>IF(ISBLANK(sted),"",_xlfn.CONCAT(sted," nr. ",bolignr))</f>
        <v xml:space="preserve">SKABELON nr. </v>
      </c>
      <c r="M1" s="262"/>
      <c r="N1" s="13" t="s">
        <v>57</v>
      </c>
      <c r="O1" s="14" t="str">
        <f>Betalingsopgørelse!C7</f>
        <v>Fjordly plejehjem</v>
      </c>
      <c r="P1" s="14"/>
    </row>
    <row r="2" spans="1:18" ht="30" customHeight="1" x14ac:dyDescent="0.2">
      <c r="B2" s="246" t="s">
        <v>31</v>
      </c>
      <c r="C2" s="246"/>
      <c r="D2" s="246"/>
      <c r="E2" s="246"/>
      <c r="F2" s="49"/>
      <c r="G2" s="132"/>
      <c r="H2" s="49"/>
      <c r="I2" s="132"/>
      <c r="J2" s="49"/>
      <c r="K2" s="132"/>
      <c r="L2" s="247" t="s">
        <v>32</v>
      </c>
      <c r="M2" s="247"/>
      <c r="N2" s="247" t="s">
        <v>33</v>
      </c>
      <c r="O2" s="247"/>
      <c r="P2" s="49"/>
    </row>
    <row r="3" spans="1:18" ht="25.5" customHeight="1" x14ac:dyDescent="0.25">
      <c r="B3" s="246"/>
      <c r="C3" s="246"/>
      <c r="D3" s="246"/>
      <c r="E3" s="246"/>
      <c r="F3" s="97" t="str">
        <f>Morgenmad</f>
        <v>Morgenmad</v>
      </c>
      <c r="G3" s="97">
        <f ca="1">IF(Januar_sum=0,0,(COUNTIF($B$9:$O$58,Morgenmad)))</f>
        <v>31</v>
      </c>
      <c r="H3" s="97" t="str">
        <f>hovedret</f>
        <v>Hovedret</v>
      </c>
      <c r="I3" s="97">
        <f ca="1">IF(Januar_sum=0,0,(COUNTIF(B8:O49,hovedret)))</f>
        <v>31</v>
      </c>
      <c r="J3" s="97" t="str">
        <f>Aftensmad</f>
        <v>Aftensmad</v>
      </c>
      <c r="K3" s="97">
        <f ca="1">IF(Januar_sum=0,0,(COUNTIF(B8:O57,Aftensmad)))</f>
        <v>31</v>
      </c>
      <c r="L3" s="248">
        <f ca="1">IF(Januar_sum=0,0,månedligtotal)</f>
        <v>3000</v>
      </c>
      <c r="M3" s="249"/>
      <c r="N3" s="248">
        <f ca="1">Januar_sum+februar_sum+marts_sum+april_sum+maj_sum+juni_sum+juli_sum+august_sum+september_sum+oktober_sum+november_sum+december_sum</f>
        <v>36000.409836065577</v>
      </c>
      <c r="O3" s="250"/>
      <c r="P3" s="133">
        <f ca="1">FLOOR(N3/aktive_måneder,1)</f>
        <v>3000</v>
      </c>
      <c r="Q3" s="134"/>
      <c r="R3" s="52"/>
    </row>
    <row r="4" spans="1:18" ht="25.5" customHeight="1" x14ac:dyDescent="0.45">
      <c r="B4" s="121"/>
      <c r="C4" s="121"/>
      <c r="D4" s="121"/>
      <c r="E4" s="121"/>
      <c r="F4" s="97" t="str">
        <f>biret</f>
        <v>Biret</v>
      </c>
      <c r="G4" s="97">
        <f ca="1">IF(Januar_sum=0,0,(COUNTIF($B$9:$O$58,biret)))</f>
        <v>31</v>
      </c>
      <c r="H4" s="97" t="str">
        <f>mellemmåltid</f>
        <v>Mellemmåltid</v>
      </c>
      <c r="I4" s="97">
        <f ca="1">IF(Januar_sum=0,0,(COUNTIF($B$9:$O$58,mellemmåltid)))</f>
        <v>0</v>
      </c>
      <c r="J4" s="97"/>
      <c r="K4" s="97"/>
      <c r="L4" s="248"/>
      <c r="M4" s="249"/>
      <c r="N4" s="251" t="b">
        <f>IF(VLOOKUP(start_måned,Dataark!$C$5:$D$16,2,FALSE)=1,TRUE,FALSE)</f>
        <v>1</v>
      </c>
      <c r="O4" s="251"/>
      <c r="P4" s="49"/>
      <c r="R4" s="52"/>
    </row>
    <row r="5" spans="1:18" ht="25.5" customHeight="1" x14ac:dyDescent="0.2">
      <c r="B5" s="251">
        <v>1</v>
      </c>
      <c r="C5" s="251"/>
      <c r="D5" s="251">
        <v>2</v>
      </c>
      <c r="E5" s="251"/>
      <c r="F5" s="260">
        <v>3</v>
      </c>
      <c r="G5" s="260"/>
      <c r="H5" s="260">
        <v>4</v>
      </c>
      <c r="I5" s="260"/>
      <c r="J5" s="251">
        <v>5</v>
      </c>
      <c r="K5" s="251"/>
      <c r="L5" s="251">
        <v>6</v>
      </c>
      <c r="M5" s="251"/>
      <c r="N5" s="261">
        <v>7</v>
      </c>
      <c r="O5" s="261"/>
      <c r="P5" s="135">
        <f ca="1">IF(til_januar=TRUE,(SUM(P14:P50)),0)</f>
        <v>2681.4098360655735</v>
      </c>
    </row>
    <row r="6" spans="1:18" ht="15" customHeight="1" x14ac:dyDescent="0.25">
      <c r="B6" s="252" t="s">
        <v>34</v>
      </c>
      <c r="C6" s="253"/>
      <c r="D6" s="254" t="s">
        <v>35</v>
      </c>
      <c r="E6" s="255" t="e">
        <f>IF(WEEKDAY(DATEVALUE(Month1&amp;" 1, "&amp;Year1))=COLUMN(#REF!),1,IF(LEN(C6)&gt;0,C6+1,""))</f>
        <v>#NAME?</v>
      </c>
      <c r="F6" s="253" t="s">
        <v>36</v>
      </c>
      <c r="G6" s="253" t="e">
        <f>IF(WEEKDAY(DATEVALUE(Month1&amp;" 1, "&amp;Year1))=COLUMN(#REF!),1,IF(LEN(E6)&gt;0,E6+1,""))</f>
        <v>#NAME?</v>
      </c>
      <c r="H6" s="254" t="s">
        <v>37</v>
      </c>
      <c r="I6" s="255" t="e">
        <f>IF(WEEKDAY(DATEVALUE(Month1&amp;" 1, "&amp;Year1))=COLUMN(#REF!),1,IF(LEN(G6)&gt;0,G6+1,""))</f>
        <v>#NAME?</v>
      </c>
      <c r="J6" s="256" t="s">
        <v>38</v>
      </c>
      <c r="K6" s="257" t="e">
        <f>IF(WEEKDAY(DATEVALUE(Month1&amp;" 1, "&amp;Year1))=COLUMN(#REF!),1,IF(LEN(I6)&gt;0,I6+1,""))</f>
        <v>#NAME?</v>
      </c>
      <c r="L6" s="258" t="s">
        <v>39</v>
      </c>
      <c r="M6" s="259" t="e">
        <f>IF(WEEKDAY(DATEVALUE(Month1&amp;" 1, "&amp;Year1))=COLUMN(#REF!),1,IF(LEN(K6)&gt;0,K6+1,""))</f>
        <v>#NAME?</v>
      </c>
      <c r="N6" s="258" t="s">
        <v>40</v>
      </c>
      <c r="O6" s="259" t="e">
        <f>IF(WEEKDAY(DATEVALUE(Month1&amp;" 1, "&amp;Year1))=COLUMN(#REF!),1,IF(LEN(M6)&gt;0,M6+1,""))</f>
        <v>#NAME?</v>
      </c>
      <c r="P6" s="53" t="s">
        <v>41</v>
      </c>
    </row>
    <row r="7" spans="1:18" ht="15" customHeight="1" x14ac:dyDescent="0.25">
      <c r="A7" s="54"/>
      <c r="B7" s="55">
        <f>DAY(IF(DAY(JanSøn1)=1,JanSøn1-6,JanSøn1+1))</f>
        <v>1</v>
      </c>
      <c r="C7" s="56"/>
      <c r="D7" s="57">
        <f>DAY(IF(DAY(JanSøn1)=1,JanSøn1-5,JanSøn1+2))</f>
        <v>2</v>
      </c>
      <c r="E7" s="56"/>
      <c r="F7" s="57">
        <f>DAY(IF(DAY(JanSøn1)=1,JanSøn1-4,JanSøn1+3))</f>
        <v>3</v>
      </c>
      <c r="G7" s="56"/>
      <c r="H7" s="57">
        <f>DAY(IF(DAY(JanSøn1)=1,JanSøn1-3,JanSøn1+4))</f>
        <v>4</v>
      </c>
      <c r="I7" s="56"/>
      <c r="J7" s="57">
        <f>DAY(IF(DAY(JanSøn1)=1,JanSøn1-2,JanSøn1+5))</f>
        <v>5</v>
      </c>
      <c r="K7" s="56"/>
      <c r="L7" s="57">
        <f>DAY(IF(DAY(JanSøn1)=1,JanSøn1-1,JanSøn1+6))</f>
        <v>6</v>
      </c>
      <c r="M7" s="56"/>
      <c r="N7" s="58">
        <f>DAY(IF(DAY(JanSøn1)=1,JanSøn1,JanSøn1+7))</f>
        <v>7</v>
      </c>
      <c r="O7" s="59"/>
      <c r="P7" s="60"/>
    </row>
    <row r="8" spans="1:18" ht="11.25" customHeight="1" x14ac:dyDescent="0.25">
      <c r="A8" s="54"/>
      <c r="B8" s="61" t="s">
        <v>42</v>
      </c>
      <c r="C8" s="62" t="s">
        <v>43</v>
      </c>
      <c r="D8" s="63" t="s">
        <v>42</v>
      </c>
      <c r="E8" s="62" t="s">
        <v>43</v>
      </c>
      <c r="F8" s="63" t="s">
        <v>42</v>
      </c>
      <c r="G8" s="62" t="s">
        <v>43</v>
      </c>
      <c r="H8" s="63" t="s">
        <v>42</v>
      </c>
      <c r="I8" s="62" t="s">
        <v>43</v>
      </c>
      <c r="J8" s="63" t="s">
        <v>42</v>
      </c>
      <c r="K8" s="62" t="s">
        <v>43</v>
      </c>
      <c r="L8" s="63" t="s">
        <v>42</v>
      </c>
      <c r="M8" s="62" t="s">
        <v>43</v>
      </c>
      <c r="N8" s="64" t="s">
        <v>42</v>
      </c>
      <c r="O8" s="65" t="s">
        <v>43</v>
      </c>
      <c r="P8" s="66"/>
    </row>
    <row r="9" spans="1:18" ht="11.25" customHeight="1" x14ac:dyDescent="0.25">
      <c r="A9" s="54"/>
      <c r="B9" s="136"/>
      <c r="C9" s="67"/>
      <c r="D9" s="136"/>
      <c r="E9" s="67"/>
      <c r="F9" s="136"/>
      <c r="G9" s="67"/>
      <c r="H9" s="136"/>
      <c r="I9" s="67"/>
      <c r="J9" s="136" t="str">
        <f>IF(Tilmeldingsoversigt!$G$7="x",Morgenmad," ")</f>
        <v>Morgenmad</v>
      </c>
      <c r="K9" s="67">
        <f ca="1">IF(J9=Morgenmad,Tilmeldingsoversigt!$C$15," ")</f>
        <v>16.754098360655739</v>
      </c>
      <c r="L9" s="136" t="str">
        <f>IF(Tilmeldingsoversigt!$H$7="x",Morgenmad," ")</f>
        <v>Morgenmad</v>
      </c>
      <c r="M9" s="67">
        <f ca="1">IF(L9=Morgenmad,Tilmeldingsoversigt!$C$15," ")</f>
        <v>16.754098360655739</v>
      </c>
      <c r="N9" s="136" t="str">
        <f>IF(Tilmeldingsoversigt!$I$7="x",Morgenmad," ")</f>
        <v>Morgenmad</v>
      </c>
      <c r="O9" s="67">
        <f ca="1">IF(N9=Morgenmad,Tilmeldingsoversigt!$C$15," ")</f>
        <v>16.754098360655739</v>
      </c>
      <c r="P9" s="66"/>
    </row>
    <row r="10" spans="1:18" ht="11.25" customHeight="1" x14ac:dyDescent="0.25">
      <c r="A10" s="54"/>
      <c r="B10" s="68"/>
      <c r="C10" s="69"/>
      <c r="D10" s="68"/>
      <c r="E10" s="69"/>
      <c r="F10" s="68"/>
      <c r="G10" s="69"/>
      <c r="H10" s="68"/>
      <c r="I10" s="69"/>
      <c r="J10" s="68" t="str">
        <f>IF(Tilmeldingsoversigt!$G$8="x",hovedret," ")</f>
        <v>Hovedret</v>
      </c>
      <c r="K10" s="69">
        <f ca="1">IF(J10=hovedret,Tilmeldingsoversigt!$C$16," ")</f>
        <v>55.016393442622949</v>
      </c>
      <c r="L10" s="68" t="str">
        <f>IF(Tilmeldingsoversigt!$H$8="x",hovedret," ")</f>
        <v>Hovedret</v>
      </c>
      <c r="M10" s="69">
        <f ca="1">IF(L10=hovedret,Tilmeldingsoversigt!$C$16," ")</f>
        <v>55.016393442622949</v>
      </c>
      <c r="N10" s="68" t="str">
        <f>IF(Tilmeldingsoversigt!$I$8="x",hovedret," ")</f>
        <v>Hovedret</v>
      </c>
      <c r="O10" s="69">
        <f ca="1">IF(N10=hovedret,Tilmeldingsoversigt!$C$16," ")</f>
        <v>55.016393442622949</v>
      </c>
      <c r="P10" s="66"/>
    </row>
    <row r="11" spans="1:18" ht="11.25" customHeight="1" x14ac:dyDescent="0.25">
      <c r="A11" s="54"/>
      <c r="B11" s="68"/>
      <c r="C11" s="69"/>
      <c r="D11" s="68"/>
      <c r="E11" s="69"/>
      <c r="F11" s="68"/>
      <c r="G11" s="69"/>
      <c r="H11" s="68"/>
      <c r="I11" s="69"/>
      <c r="J11" s="68" t="str">
        <f>IF(Tilmeldingsoversigt!$G$9="x",Aftensmad," ")</f>
        <v>Aftensmad</v>
      </c>
      <c r="K11" s="69">
        <f ca="1">IF(J11=Aftensmad,Tilmeldingsoversigt!$C$17," ")</f>
        <v>27.540983606557376</v>
      </c>
      <c r="L11" s="68" t="str">
        <f>IF(Tilmeldingsoversigt!$H$9="x",Aftensmad," ")</f>
        <v>Aftensmad</v>
      </c>
      <c r="M11" s="69">
        <f ca="1">IF(L11=Aftensmad,Tilmeldingsoversigt!$C$17," ")</f>
        <v>27.540983606557376</v>
      </c>
      <c r="N11" s="68" t="str">
        <f>IF(Tilmeldingsoversigt!$I$9="x",Aftensmad," ")</f>
        <v>Aftensmad</v>
      </c>
      <c r="O11" s="69">
        <f ca="1">IF(N11=Aftensmad,Tilmeldingsoversigt!$C$17," ")</f>
        <v>27.540983606557376</v>
      </c>
      <c r="P11" s="66"/>
    </row>
    <row r="12" spans="1:18" ht="11.25" customHeight="1" x14ac:dyDescent="0.25">
      <c r="A12" s="54"/>
      <c r="B12" s="68"/>
      <c r="C12" s="69"/>
      <c r="D12" s="68"/>
      <c r="E12" s="67"/>
      <c r="F12" s="68"/>
      <c r="G12" s="69"/>
      <c r="H12" s="68"/>
      <c r="I12" s="69"/>
      <c r="J12" s="68" t="str">
        <f>IF(Tilmeldingsoversigt!$G$10="x",biret," ")</f>
        <v>Biret</v>
      </c>
      <c r="K12" s="69">
        <f>IF(J12=biret,biretpris," ")</f>
        <v>0</v>
      </c>
      <c r="L12" s="68" t="str">
        <f>IF(Tilmeldingsoversigt!$H$10="x",biret," ")</f>
        <v>Biret</v>
      </c>
      <c r="M12" s="69">
        <f>IF(L12=biret,biretpris," ")</f>
        <v>0</v>
      </c>
      <c r="N12" s="68" t="str">
        <f>IF(Tilmeldingsoversigt!$I$10="x",biret," ")</f>
        <v>Biret</v>
      </c>
      <c r="O12" s="70">
        <f>IF(N12=biret,biretpris," ")</f>
        <v>0</v>
      </c>
      <c r="P12" s="66"/>
    </row>
    <row r="13" spans="1:18" ht="11.25" customHeight="1" x14ac:dyDescent="0.25">
      <c r="A13" s="54"/>
      <c r="B13" s="71"/>
      <c r="C13" s="72"/>
      <c r="D13" s="71"/>
      <c r="E13" s="67"/>
      <c r="F13" s="71"/>
      <c r="G13" s="69"/>
      <c r="H13" s="71"/>
      <c r="I13" s="72"/>
      <c r="J13" s="71" t="str">
        <f>IF(Tilmeldingsoversigt!$C$11="x",mellemmåltid," ")</f>
        <v xml:space="preserve"> </v>
      </c>
      <c r="K13" s="72" t="str">
        <f>IF(J13=mellemmåltid,mellemmåltidspris," ")</f>
        <v xml:space="preserve"> </v>
      </c>
      <c r="L13" s="71" t="str">
        <f>IF(Tilmeldingsoversigt!$C$11="x",mellemmåltid," ")</f>
        <v xml:space="preserve"> </v>
      </c>
      <c r="M13" s="72" t="str">
        <f>IF(L13=mellemmåltid,mellemmåltidspris," ")</f>
        <v xml:space="preserve"> </v>
      </c>
      <c r="N13" s="71" t="str">
        <f>IF(Tilmeldingsoversigt!$C$11="x",mellemmåltid," ")</f>
        <v xml:space="preserve"> </v>
      </c>
      <c r="O13" s="73" t="str">
        <f>IF(N13=mellemmåltid,mellemmåltidspris," ")</f>
        <v xml:space="preserve"> </v>
      </c>
      <c r="P13" s="66"/>
    </row>
    <row r="14" spans="1:18" ht="11.25" customHeight="1" x14ac:dyDescent="0.25">
      <c r="A14" s="54"/>
      <c r="B14" s="74" t="s">
        <v>44</v>
      </c>
      <c r="C14" s="11">
        <f>SUM(C9:C13)</f>
        <v>0</v>
      </c>
      <c r="D14" s="74"/>
      <c r="E14" s="11">
        <f>SUM(E9:E13)</f>
        <v>0</v>
      </c>
      <c r="F14" s="74"/>
      <c r="G14" s="11">
        <f>SUM(G9:G13)</f>
        <v>0</v>
      </c>
      <c r="H14" s="74"/>
      <c r="I14" s="11">
        <f>SUM(I9:I13)</f>
        <v>0</v>
      </c>
      <c r="J14" s="74"/>
      <c r="K14" s="11">
        <f ca="1">SUM(K9:K13)</f>
        <v>99.311475409836063</v>
      </c>
      <c r="L14" s="74"/>
      <c r="M14" s="11">
        <f ca="1">SUM(M9:M13)</f>
        <v>99.311475409836063</v>
      </c>
      <c r="N14" s="74"/>
      <c r="O14" s="12">
        <f ca="1">SUM(O9:O13)</f>
        <v>99.311475409836063</v>
      </c>
      <c r="P14" s="75">
        <f ca="1">IF(til_januar=TRUE,(SUMIF(B7:N7,"&lt;8",C14:O14)),"0")</f>
        <v>297.93442622950818</v>
      </c>
    </row>
    <row r="15" spans="1:18" ht="11.25" customHeight="1" x14ac:dyDescent="0.2">
      <c r="A15" s="49"/>
      <c r="B15" s="76"/>
      <c r="C15" s="77"/>
      <c r="D15" s="77"/>
      <c r="E15" s="77"/>
      <c r="F15" s="77"/>
      <c r="G15" s="77"/>
      <c r="H15" s="77"/>
      <c r="I15" s="77"/>
      <c r="J15" s="77"/>
      <c r="K15" s="77"/>
      <c r="L15" s="77"/>
      <c r="M15" s="77"/>
      <c r="N15" s="77"/>
      <c r="O15" s="77"/>
      <c r="P15" s="76"/>
    </row>
    <row r="16" spans="1:18" ht="15" customHeight="1" x14ac:dyDescent="0.25">
      <c r="A16" s="54"/>
      <c r="B16" s="78">
        <f>N7+1</f>
        <v>8</v>
      </c>
      <c r="C16" s="79"/>
      <c r="D16" s="78">
        <f>B16+1</f>
        <v>9</v>
      </c>
      <c r="E16" s="79"/>
      <c r="F16" s="78">
        <f>D16+1</f>
        <v>10</v>
      </c>
      <c r="G16" s="79"/>
      <c r="H16" s="78">
        <f>F16+1</f>
        <v>11</v>
      </c>
      <c r="I16" s="79"/>
      <c r="J16" s="78">
        <f>H16+1</f>
        <v>12</v>
      </c>
      <c r="K16" s="79"/>
      <c r="L16" s="78">
        <f>J16+1</f>
        <v>13</v>
      </c>
      <c r="M16" s="79"/>
      <c r="N16" s="78">
        <f>L16+1</f>
        <v>14</v>
      </c>
      <c r="O16" s="79"/>
      <c r="P16" s="80"/>
    </row>
    <row r="17" spans="1:16" ht="11.25" customHeight="1" x14ac:dyDescent="0.25">
      <c r="A17" s="54"/>
      <c r="B17" s="64" t="s">
        <v>42</v>
      </c>
      <c r="C17" s="81" t="s">
        <v>43</v>
      </c>
      <c r="D17" s="64" t="s">
        <v>42</v>
      </c>
      <c r="E17" s="81" t="s">
        <v>43</v>
      </c>
      <c r="F17" s="64" t="s">
        <v>42</v>
      </c>
      <c r="G17" s="81" t="s">
        <v>43</v>
      </c>
      <c r="H17" s="64" t="s">
        <v>42</v>
      </c>
      <c r="I17" s="81" t="s">
        <v>43</v>
      </c>
      <c r="J17" s="64" t="s">
        <v>42</v>
      </c>
      <c r="K17" s="81" t="s">
        <v>43</v>
      </c>
      <c r="L17" s="64" t="s">
        <v>42</v>
      </c>
      <c r="M17" s="81" t="s">
        <v>43</v>
      </c>
      <c r="N17" s="64" t="s">
        <v>42</v>
      </c>
      <c r="O17" s="82" t="s">
        <v>43</v>
      </c>
      <c r="P17" s="66"/>
    </row>
    <row r="18" spans="1:16" ht="11.25" customHeight="1" x14ac:dyDescent="0.25">
      <c r="A18" s="54"/>
      <c r="B18" s="136" t="str">
        <f>IF(Tilmeldingsoversigt!$C$7="x",Morgenmad," ")</f>
        <v>Morgenmad</v>
      </c>
      <c r="C18" s="67">
        <f ca="1">IF(B18=Morgenmad,Tilmeldingsoversigt!$C$15," ")</f>
        <v>16.754098360655739</v>
      </c>
      <c r="D18" s="136" t="str">
        <f>IF(Tilmeldingsoversigt!$D$7="x",Morgenmad," ")</f>
        <v>Morgenmad</v>
      </c>
      <c r="E18" s="67">
        <f ca="1">IF(D18=Morgenmad,Tilmeldingsoversigt!$C$15," ")</f>
        <v>16.754098360655739</v>
      </c>
      <c r="F18" s="136" t="str">
        <f>IF(Tilmeldingsoversigt!$E$7="x",Morgenmad," ")</f>
        <v>Morgenmad</v>
      </c>
      <c r="G18" s="67">
        <f ca="1">IF(F18=Morgenmad,Tilmeldingsoversigt!$C$15," ")</f>
        <v>16.754098360655739</v>
      </c>
      <c r="H18" s="136" t="str">
        <f>IF(Tilmeldingsoversigt!$F$7="x",Morgenmad," ")</f>
        <v>Morgenmad</v>
      </c>
      <c r="I18" s="67">
        <f ca="1">IF(H18=Morgenmad,Tilmeldingsoversigt!$C$15," ")</f>
        <v>16.754098360655739</v>
      </c>
      <c r="J18" s="136" t="str">
        <f>IF(Tilmeldingsoversigt!$G$7="x",Morgenmad," ")</f>
        <v>Morgenmad</v>
      </c>
      <c r="K18" s="67">
        <f ca="1">IF(J18=Morgenmad,Tilmeldingsoversigt!$C$15," ")</f>
        <v>16.754098360655739</v>
      </c>
      <c r="L18" s="136" t="str">
        <f>IF(Tilmeldingsoversigt!$H$7="x",Morgenmad," ")</f>
        <v>Morgenmad</v>
      </c>
      <c r="M18" s="67">
        <f ca="1">IF(L18=Morgenmad,Tilmeldingsoversigt!$C$15," ")</f>
        <v>16.754098360655739</v>
      </c>
      <c r="N18" s="136" t="str">
        <f>IF(Tilmeldingsoversigt!$I$7="x",Morgenmad," ")</f>
        <v>Morgenmad</v>
      </c>
      <c r="O18" s="67">
        <f ca="1">IF(N18=Morgenmad,Tilmeldingsoversigt!$C$15," ")</f>
        <v>16.754098360655739</v>
      </c>
      <c r="P18" s="66"/>
    </row>
    <row r="19" spans="1:16" ht="11.25" customHeight="1" x14ac:dyDescent="0.25">
      <c r="A19" s="54"/>
      <c r="B19" s="68" t="str">
        <f>IF(Tilmeldingsoversigt!$C$8="x",hovedret," ")</f>
        <v>Hovedret</v>
      </c>
      <c r="C19" s="69">
        <f ca="1">IF(B19=hovedret,Tilmeldingsoversigt!$C$16," ")</f>
        <v>55.016393442622949</v>
      </c>
      <c r="D19" s="68" t="str">
        <f>IF(Tilmeldingsoversigt!$D$8="x",hovedret," ")</f>
        <v>Hovedret</v>
      </c>
      <c r="E19" s="69">
        <f ca="1">IF(D19=hovedret,Tilmeldingsoversigt!$C$16," ")</f>
        <v>55.016393442622949</v>
      </c>
      <c r="F19" s="68" t="str">
        <f>IF(Tilmeldingsoversigt!$E$8="x",hovedret," ")</f>
        <v>Hovedret</v>
      </c>
      <c r="G19" s="69">
        <f ca="1">IF(F19=hovedret,Tilmeldingsoversigt!$C$16," ")</f>
        <v>55.016393442622949</v>
      </c>
      <c r="H19" s="68" t="str">
        <f>IF(Tilmeldingsoversigt!$F$8="x",hovedret," ")</f>
        <v>Hovedret</v>
      </c>
      <c r="I19" s="69">
        <f ca="1">IF(H19=hovedret,Tilmeldingsoversigt!$C$16," ")</f>
        <v>55.016393442622949</v>
      </c>
      <c r="J19" s="68" t="str">
        <f>IF(Tilmeldingsoversigt!$G$8="x",hovedret," ")</f>
        <v>Hovedret</v>
      </c>
      <c r="K19" s="69">
        <f ca="1">IF(J19=hovedret,Tilmeldingsoversigt!$C$16," ")</f>
        <v>55.016393442622949</v>
      </c>
      <c r="L19" s="68" t="str">
        <f>IF(Tilmeldingsoversigt!$H$8="x",hovedret," ")</f>
        <v>Hovedret</v>
      </c>
      <c r="M19" s="69">
        <f ca="1">IF(L19=hovedret,Tilmeldingsoversigt!$C$16," ")</f>
        <v>55.016393442622949</v>
      </c>
      <c r="N19" s="68" t="str">
        <f>IF(Tilmeldingsoversigt!$I$8="x",hovedret," ")</f>
        <v>Hovedret</v>
      </c>
      <c r="O19" s="69">
        <f ca="1">IF(N19=hovedret,Tilmeldingsoversigt!$C$16," ")</f>
        <v>55.016393442622949</v>
      </c>
      <c r="P19" s="66"/>
    </row>
    <row r="20" spans="1:16" ht="11.25" customHeight="1" x14ac:dyDescent="0.25">
      <c r="A20" s="54"/>
      <c r="B20" s="68" t="str">
        <f>IF(Tilmeldingsoversigt!$C$9="x",Aftensmad," ")</f>
        <v>Aftensmad</v>
      </c>
      <c r="C20" s="69">
        <f ca="1">IF(B20=Aftensmad,Tilmeldingsoversigt!$C$17," ")</f>
        <v>27.540983606557376</v>
      </c>
      <c r="D20" s="68" t="str">
        <f>IF(Tilmeldingsoversigt!$D$9="x",Aftensmad," ")</f>
        <v>Aftensmad</v>
      </c>
      <c r="E20" s="69">
        <f ca="1">IF(D20=Aftensmad,Tilmeldingsoversigt!$C$17," ")</f>
        <v>27.540983606557376</v>
      </c>
      <c r="F20" s="68" t="str">
        <f>IF(Tilmeldingsoversigt!$E$9="x",Aftensmad," ")</f>
        <v>Aftensmad</v>
      </c>
      <c r="G20" s="69">
        <f ca="1">IF(F20=Aftensmad,Tilmeldingsoversigt!$C$17," ")</f>
        <v>27.540983606557376</v>
      </c>
      <c r="H20" s="68" t="str">
        <f>IF(Tilmeldingsoversigt!$F$9="x",Aftensmad," ")</f>
        <v>Aftensmad</v>
      </c>
      <c r="I20" s="69">
        <f ca="1">IF(H20=Aftensmad,Tilmeldingsoversigt!$C$17," ")</f>
        <v>27.540983606557376</v>
      </c>
      <c r="J20" s="68" t="str">
        <f>IF(Tilmeldingsoversigt!$G$9="x",Aftensmad," ")</f>
        <v>Aftensmad</v>
      </c>
      <c r="K20" s="69">
        <f ca="1">IF(J20=Aftensmad,Tilmeldingsoversigt!$C$17," ")</f>
        <v>27.540983606557376</v>
      </c>
      <c r="L20" s="68" t="str">
        <f>IF(Tilmeldingsoversigt!$H$9="x",Aftensmad," ")</f>
        <v>Aftensmad</v>
      </c>
      <c r="M20" s="69">
        <f ca="1">IF(L20=Aftensmad,Tilmeldingsoversigt!$C$17," ")</f>
        <v>27.540983606557376</v>
      </c>
      <c r="N20" s="68" t="str">
        <f>IF(Tilmeldingsoversigt!$I$9="x",Aftensmad," ")</f>
        <v>Aftensmad</v>
      </c>
      <c r="O20" s="69">
        <f ca="1">IF(N20=Aftensmad,Tilmeldingsoversigt!$C$17," ")</f>
        <v>27.540983606557376</v>
      </c>
      <c r="P20" s="66"/>
    </row>
    <row r="21" spans="1:16" ht="11.25" customHeight="1" x14ac:dyDescent="0.25">
      <c r="A21" s="54"/>
      <c r="B21" s="68" t="str">
        <f>IF(Tilmeldingsoversigt!$C$10="x",biret," ")</f>
        <v>Biret</v>
      </c>
      <c r="C21" s="69">
        <f>IF(B21=biret,biretpris," ")</f>
        <v>0</v>
      </c>
      <c r="D21" s="68" t="str">
        <f>IF(Tilmeldingsoversigt!$D$10="x",biret," ")</f>
        <v>Biret</v>
      </c>
      <c r="E21" s="69">
        <f>IF(D21=biret,biretpris," ")</f>
        <v>0</v>
      </c>
      <c r="F21" s="68" t="str">
        <f>IF(Tilmeldingsoversigt!$E$10="x",biret," ")</f>
        <v>Biret</v>
      </c>
      <c r="G21" s="69">
        <f>IF(F21=biret,biretpris," ")</f>
        <v>0</v>
      </c>
      <c r="H21" s="68" t="str">
        <f>IF(Tilmeldingsoversigt!$F$10="x",biret," ")</f>
        <v>Biret</v>
      </c>
      <c r="I21" s="69">
        <f>IF(H21=biret,biretpris," ")</f>
        <v>0</v>
      </c>
      <c r="J21" s="68" t="str">
        <f>IF(Tilmeldingsoversigt!$G$10="x",biret," ")</f>
        <v>Biret</v>
      </c>
      <c r="K21" s="70">
        <f>IF(J21=biret,biretpris," ")</f>
        <v>0</v>
      </c>
      <c r="L21" s="68" t="str">
        <f>IF(Tilmeldingsoversigt!$H$10="x",biret," ")</f>
        <v>Biret</v>
      </c>
      <c r="M21" s="69">
        <f>IF(L21=biret,biretpris," ")</f>
        <v>0</v>
      </c>
      <c r="N21" s="68" t="str">
        <f>IF(Tilmeldingsoversigt!$I$10="x",biret," ")</f>
        <v>Biret</v>
      </c>
      <c r="O21" s="70">
        <f>IF(N21=biret,biretpris," ")</f>
        <v>0</v>
      </c>
      <c r="P21" s="66"/>
    </row>
    <row r="22" spans="1:16" ht="11.25" customHeight="1" x14ac:dyDescent="0.25">
      <c r="A22" s="54"/>
      <c r="B22" s="71" t="str">
        <f>IF(Tilmeldingsoversigt!$C$11="x",mellemmåltid," ")</f>
        <v xml:space="preserve"> </v>
      </c>
      <c r="C22" s="69" t="str">
        <f>IF(B22=mellemmåltid,mellemmåltidspris," ")</f>
        <v xml:space="preserve"> </v>
      </c>
      <c r="D22" s="71" t="str">
        <f>IF(Tilmeldingsoversigt!$C$11="x",mellemmåltid," ")</f>
        <v xml:space="preserve"> </v>
      </c>
      <c r="E22" s="72" t="str">
        <f>IF(D22=mellemmåltid,mellemmåltidspris," ")</f>
        <v xml:space="preserve"> </v>
      </c>
      <c r="F22" s="71" t="str">
        <f>IF(Tilmeldingsoversigt!$C$11="x",mellemmåltid," ")</f>
        <v xml:space="preserve"> </v>
      </c>
      <c r="G22" s="72" t="str">
        <f>IF(F22=mellemmåltid,mellemmåltidspris," ")</f>
        <v xml:space="preserve"> </v>
      </c>
      <c r="H22" s="71" t="str">
        <f>IF(Tilmeldingsoversigt!$C$11="x",mellemmåltid," ")</f>
        <v xml:space="preserve"> </v>
      </c>
      <c r="I22" s="72" t="str">
        <f>IF(H22=mellemmåltid,mellemmåltidspris," ")</f>
        <v xml:space="preserve"> </v>
      </c>
      <c r="J22" s="71" t="str">
        <f>IF(Tilmeldingsoversigt!$C$11="x",mellemmåltid," ")</f>
        <v xml:space="preserve"> </v>
      </c>
      <c r="K22" s="73" t="str">
        <f>IF(J22=mellemmåltid,mellemmåltidspris," ")</f>
        <v xml:space="preserve"> </v>
      </c>
      <c r="L22" s="71" t="str">
        <f>IF(Tilmeldingsoversigt!$C$11="x",mellemmåltid," ")</f>
        <v xml:space="preserve"> </v>
      </c>
      <c r="M22" s="72" t="str">
        <f>IF(L22=mellemmåltid,mellemmåltidspris," ")</f>
        <v xml:space="preserve"> </v>
      </c>
      <c r="N22" s="71" t="str">
        <f>IF(Tilmeldingsoversigt!$C$11="x",mellemmåltid," ")</f>
        <v xml:space="preserve"> </v>
      </c>
      <c r="O22" s="73" t="str">
        <f>IF(N22=mellemmåltid,mellemmåltidspris," ")</f>
        <v xml:space="preserve"> </v>
      </c>
      <c r="P22" s="66"/>
    </row>
    <row r="23" spans="1:16" ht="11.25" customHeight="1" x14ac:dyDescent="0.25">
      <c r="B23" s="74" t="s">
        <v>44</v>
      </c>
      <c r="C23" s="11">
        <f ca="1">SUM(C18:C22)</f>
        <v>99.311475409836063</v>
      </c>
      <c r="D23" s="74"/>
      <c r="E23" s="11">
        <f ca="1">SUM(E18:E22)</f>
        <v>99.311475409836063</v>
      </c>
      <c r="F23" s="74"/>
      <c r="G23" s="11">
        <f ca="1">SUM(G18:G22)</f>
        <v>99.311475409836063</v>
      </c>
      <c r="H23" s="74"/>
      <c r="I23" s="11">
        <f ca="1">SUM(I18:I22)</f>
        <v>99.311475409836063</v>
      </c>
      <c r="J23" s="74"/>
      <c r="K23" s="11">
        <f ca="1">SUM(K18:K22)</f>
        <v>99.311475409836063</v>
      </c>
      <c r="L23" s="74"/>
      <c r="M23" s="11">
        <f ca="1">SUM(M18:M22)</f>
        <v>99.311475409836063</v>
      </c>
      <c r="N23" s="74"/>
      <c r="O23" s="12">
        <f ca="1">SUM(O18:O22)</f>
        <v>99.311475409836063</v>
      </c>
      <c r="P23" s="75">
        <f ca="1">SUM(C23,E23,G23,I23,K23,M23,O23)</f>
        <v>695.18032786885237</v>
      </c>
    </row>
    <row r="24" spans="1:16" ht="11.25" customHeight="1" x14ac:dyDescent="0.2">
      <c r="A24" s="49"/>
      <c r="B24" s="76"/>
      <c r="C24" s="77"/>
      <c r="D24" s="77"/>
      <c r="E24" s="77"/>
      <c r="F24" s="77"/>
      <c r="G24" s="77"/>
      <c r="H24" s="77"/>
      <c r="I24" s="77"/>
      <c r="J24" s="77"/>
      <c r="K24" s="77"/>
      <c r="L24" s="77"/>
      <c r="M24" s="77"/>
      <c r="N24" s="77"/>
      <c r="O24" s="77"/>
      <c r="P24" s="76"/>
    </row>
    <row r="25" spans="1:16" ht="15" customHeight="1" x14ac:dyDescent="0.25">
      <c r="A25" s="54"/>
      <c r="B25" s="78">
        <f>N16+1</f>
        <v>15</v>
      </c>
      <c r="C25" s="79"/>
      <c r="D25" s="78">
        <f>B25+1</f>
        <v>16</v>
      </c>
      <c r="E25" s="79"/>
      <c r="F25" s="78">
        <f>D25+1</f>
        <v>17</v>
      </c>
      <c r="G25" s="79"/>
      <c r="H25" s="78">
        <f>F25+1</f>
        <v>18</v>
      </c>
      <c r="I25" s="79"/>
      <c r="J25" s="78">
        <f>H25+1</f>
        <v>19</v>
      </c>
      <c r="K25" s="79"/>
      <c r="L25" s="78">
        <f>J25+1</f>
        <v>20</v>
      </c>
      <c r="M25" s="79"/>
      <c r="N25" s="78">
        <f>L25+1</f>
        <v>21</v>
      </c>
      <c r="O25" s="79"/>
      <c r="P25" s="80"/>
    </row>
    <row r="26" spans="1:16" ht="11.25" customHeight="1" x14ac:dyDescent="0.25">
      <c r="A26" s="54"/>
      <c r="B26" s="64" t="s">
        <v>42</v>
      </c>
      <c r="C26" s="81" t="s">
        <v>43</v>
      </c>
      <c r="D26" s="64" t="s">
        <v>42</v>
      </c>
      <c r="E26" s="81" t="s">
        <v>43</v>
      </c>
      <c r="F26" s="64" t="s">
        <v>42</v>
      </c>
      <c r="G26" s="81" t="s">
        <v>43</v>
      </c>
      <c r="H26" s="64" t="s">
        <v>42</v>
      </c>
      <c r="I26" s="81" t="s">
        <v>43</v>
      </c>
      <c r="J26" s="64" t="s">
        <v>42</v>
      </c>
      <c r="K26" s="81" t="s">
        <v>43</v>
      </c>
      <c r="L26" s="64" t="s">
        <v>42</v>
      </c>
      <c r="M26" s="81" t="s">
        <v>43</v>
      </c>
      <c r="N26" s="64" t="s">
        <v>42</v>
      </c>
      <c r="O26" s="82" t="s">
        <v>43</v>
      </c>
      <c r="P26" s="66"/>
    </row>
    <row r="27" spans="1:16" ht="11.25" customHeight="1" x14ac:dyDescent="0.25">
      <c r="A27" s="54"/>
      <c r="B27" s="136" t="str">
        <f>IF(Tilmeldingsoversigt!$C$7="x",Morgenmad," ")</f>
        <v>Morgenmad</v>
      </c>
      <c r="C27" s="67">
        <f ca="1">IF(B27=Morgenmad,Tilmeldingsoversigt!$C$15," ")</f>
        <v>16.754098360655739</v>
      </c>
      <c r="D27" s="136" t="str">
        <f>IF(Tilmeldingsoversigt!$D$7="x",Morgenmad," ")</f>
        <v>Morgenmad</v>
      </c>
      <c r="E27" s="67">
        <f ca="1">IF(D27=Morgenmad,Tilmeldingsoversigt!$C$15," ")</f>
        <v>16.754098360655739</v>
      </c>
      <c r="F27" s="136" t="str">
        <f>IF(Tilmeldingsoversigt!$E$7="x",Morgenmad," ")</f>
        <v>Morgenmad</v>
      </c>
      <c r="G27" s="67">
        <f ca="1">IF(F27=Morgenmad,Tilmeldingsoversigt!$C$15," ")</f>
        <v>16.754098360655739</v>
      </c>
      <c r="H27" s="136" t="str">
        <f>IF(Tilmeldingsoversigt!$F$7="x",Morgenmad," ")</f>
        <v>Morgenmad</v>
      </c>
      <c r="I27" s="67">
        <f ca="1">IF(H27=Morgenmad,Tilmeldingsoversigt!$C$15," ")</f>
        <v>16.754098360655739</v>
      </c>
      <c r="J27" s="136" t="str">
        <f>IF(Tilmeldingsoversigt!$G$7="x",Morgenmad," ")</f>
        <v>Morgenmad</v>
      </c>
      <c r="K27" s="67">
        <f ca="1">IF(J27=Morgenmad,Tilmeldingsoversigt!$C$15," ")</f>
        <v>16.754098360655739</v>
      </c>
      <c r="L27" s="136" t="str">
        <f>IF(Tilmeldingsoversigt!$H$7="x",Morgenmad," ")</f>
        <v>Morgenmad</v>
      </c>
      <c r="M27" s="67">
        <f ca="1">IF(L27=Morgenmad,Tilmeldingsoversigt!$C$15," ")</f>
        <v>16.754098360655739</v>
      </c>
      <c r="N27" s="136" t="str">
        <f>IF(Tilmeldingsoversigt!$I$7="x",Morgenmad," ")</f>
        <v>Morgenmad</v>
      </c>
      <c r="O27" s="83">
        <f ca="1">IF(N27=Morgenmad,Tilmeldingsoversigt!$C$15," ")</f>
        <v>16.754098360655739</v>
      </c>
      <c r="P27" s="66"/>
    </row>
    <row r="28" spans="1:16" ht="11.25" customHeight="1" x14ac:dyDescent="0.25">
      <c r="A28" s="54"/>
      <c r="B28" s="68" t="str">
        <f>IF(Tilmeldingsoversigt!$C$8="x",hovedret," ")</f>
        <v>Hovedret</v>
      </c>
      <c r="C28" s="69">
        <f ca="1">IF(B28=hovedret,Tilmeldingsoversigt!$C$16," ")</f>
        <v>55.016393442622949</v>
      </c>
      <c r="D28" s="68" t="str">
        <f>IF(Tilmeldingsoversigt!$D$8="x",hovedret," ")</f>
        <v>Hovedret</v>
      </c>
      <c r="E28" s="69">
        <f ca="1">IF(D28=hovedret,Tilmeldingsoversigt!$C$16," ")</f>
        <v>55.016393442622949</v>
      </c>
      <c r="F28" s="68" t="str">
        <f>IF(Tilmeldingsoversigt!$E$8="x",hovedret," ")</f>
        <v>Hovedret</v>
      </c>
      <c r="G28" s="69">
        <f ca="1">IF(F28=hovedret,Tilmeldingsoversigt!$C$16," ")</f>
        <v>55.016393442622949</v>
      </c>
      <c r="H28" s="68" t="str">
        <f>IF(Tilmeldingsoversigt!$F$8="x",hovedret," ")</f>
        <v>Hovedret</v>
      </c>
      <c r="I28" s="69">
        <f ca="1">IF(H28=hovedret,Tilmeldingsoversigt!$C$16," ")</f>
        <v>55.016393442622949</v>
      </c>
      <c r="J28" s="68" t="str">
        <f>IF(Tilmeldingsoversigt!$G$8="x",hovedret," ")</f>
        <v>Hovedret</v>
      </c>
      <c r="K28" s="69">
        <f ca="1">IF(J28=hovedret,Tilmeldingsoversigt!$C$16," ")</f>
        <v>55.016393442622949</v>
      </c>
      <c r="L28" s="68" t="str">
        <f>IF(Tilmeldingsoversigt!$H$8="x",hovedret," ")</f>
        <v>Hovedret</v>
      </c>
      <c r="M28" s="69">
        <f ca="1">IF(L28=hovedret,Tilmeldingsoversigt!$C$16," ")</f>
        <v>55.016393442622949</v>
      </c>
      <c r="N28" s="68" t="str">
        <f>IF(Tilmeldingsoversigt!$I$8="x",hovedret," ")</f>
        <v>Hovedret</v>
      </c>
      <c r="O28" s="70">
        <f ca="1">IF(N28=hovedret,Tilmeldingsoversigt!$C$16," ")</f>
        <v>55.016393442622949</v>
      </c>
      <c r="P28" s="66"/>
    </row>
    <row r="29" spans="1:16" ht="11.25" customHeight="1" x14ac:dyDescent="0.25">
      <c r="A29" s="54"/>
      <c r="B29" s="68" t="str">
        <f>IF(Tilmeldingsoversigt!$C$9="x",Aftensmad," ")</f>
        <v>Aftensmad</v>
      </c>
      <c r="C29" s="69">
        <f ca="1">IF(B29=Aftensmad,Tilmeldingsoversigt!$C$17," ")</f>
        <v>27.540983606557376</v>
      </c>
      <c r="D29" s="68" t="str">
        <f>IF(Tilmeldingsoversigt!$D$9="x",Aftensmad," ")</f>
        <v>Aftensmad</v>
      </c>
      <c r="E29" s="69">
        <f ca="1">IF(D29=Aftensmad,Tilmeldingsoversigt!$C$17," ")</f>
        <v>27.540983606557376</v>
      </c>
      <c r="F29" s="68" t="str">
        <f>IF(Tilmeldingsoversigt!$E$9="x",Aftensmad," ")</f>
        <v>Aftensmad</v>
      </c>
      <c r="G29" s="69">
        <f ca="1">IF(F29=Aftensmad,Tilmeldingsoversigt!$C$17," ")</f>
        <v>27.540983606557376</v>
      </c>
      <c r="H29" s="68" t="str">
        <f>IF(Tilmeldingsoversigt!$F$9="x",Aftensmad," ")</f>
        <v>Aftensmad</v>
      </c>
      <c r="I29" s="69">
        <f ca="1">IF(H29=Aftensmad,Tilmeldingsoversigt!$C$17," ")</f>
        <v>27.540983606557376</v>
      </c>
      <c r="J29" s="68" t="str">
        <f>IF(Tilmeldingsoversigt!$G$9="x",Aftensmad," ")</f>
        <v>Aftensmad</v>
      </c>
      <c r="K29" s="69">
        <f ca="1">IF(J29=Aftensmad,Tilmeldingsoversigt!$C$17," ")</f>
        <v>27.540983606557376</v>
      </c>
      <c r="L29" s="68" t="str">
        <f>IF(Tilmeldingsoversigt!$H$9="x",Aftensmad," ")</f>
        <v>Aftensmad</v>
      </c>
      <c r="M29" s="69">
        <f ca="1">IF(L29=Aftensmad,Tilmeldingsoversigt!$C$17," ")</f>
        <v>27.540983606557376</v>
      </c>
      <c r="N29" s="68" t="str">
        <f>IF(Tilmeldingsoversigt!$I$9="x",Aftensmad," ")</f>
        <v>Aftensmad</v>
      </c>
      <c r="O29" s="70">
        <f ca="1">IF(N29=Aftensmad,Tilmeldingsoversigt!$C$17," ")</f>
        <v>27.540983606557376</v>
      </c>
      <c r="P29" s="66"/>
    </row>
    <row r="30" spans="1:16" ht="11.25" customHeight="1" x14ac:dyDescent="0.25">
      <c r="A30" s="54"/>
      <c r="B30" s="68" t="str">
        <f>IF(Tilmeldingsoversigt!$C$10="x",biret," ")</f>
        <v>Biret</v>
      </c>
      <c r="C30" s="69">
        <f>IF(B30=biret,biretpris," ")</f>
        <v>0</v>
      </c>
      <c r="D30" s="68" t="str">
        <f>IF(Tilmeldingsoversigt!$D$10="x",biret," ")</f>
        <v>Biret</v>
      </c>
      <c r="E30" s="69">
        <f>IF(D30=biret,biretpris," ")</f>
        <v>0</v>
      </c>
      <c r="F30" s="68" t="str">
        <f>IF(Tilmeldingsoversigt!$E$10="x",biret," ")</f>
        <v>Biret</v>
      </c>
      <c r="G30" s="69">
        <f>IF(F30=biret,biretpris," ")</f>
        <v>0</v>
      </c>
      <c r="H30" s="68" t="str">
        <f>IF(Tilmeldingsoversigt!$F$10="x",biret," ")</f>
        <v>Biret</v>
      </c>
      <c r="I30" s="69">
        <f>IF(H30=biret,biretpris," ")</f>
        <v>0</v>
      </c>
      <c r="J30" s="68" t="str">
        <f>IF(Tilmeldingsoversigt!$G$10="x",biret," ")</f>
        <v>Biret</v>
      </c>
      <c r="K30" s="70">
        <f>IF(J30=biret,biretpris," ")</f>
        <v>0</v>
      </c>
      <c r="L30" s="68" t="str">
        <f>IF(Tilmeldingsoversigt!$H$10="x",biret," ")</f>
        <v>Biret</v>
      </c>
      <c r="M30" s="69">
        <f>IF(L30=biret,biretpris," ")</f>
        <v>0</v>
      </c>
      <c r="N30" s="68" t="str">
        <f>IF(Tilmeldingsoversigt!$I$10="x",biret," ")</f>
        <v>Biret</v>
      </c>
      <c r="O30" s="70">
        <f>IF(N30=biret,biretpris," ")</f>
        <v>0</v>
      </c>
      <c r="P30" s="66"/>
    </row>
    <row r="31" spans="1:16" ht="11.25" customHeight="1" x14ac:dyDescent="0.25">
      <c r="A31" s="54"/>
      <c r="B31" s="71" t="str">
        <f>IF(Tilmeldingsoversigt!$C$11="x",mellemmåltid," ")</f>
        <v xml:space="preserve"> </v>
      </c>
      <c r="C31" s="69" t="str">
        <f>IF(B31=mellemmåltid,mellemmåltidspris," ")</f>
        <v xml:space="preserve"> </v>
      </c>
      <c r="D31" s="71" t="str">
        <f>IF(Tilmeldingsoversigt!$C$11="x",mellemmåltid," ")</f>
        <v xml:space="preserve"> </v>
      </c>
      <c r="E31" s="72" t="str">
        <f>IF(D31=mellemmåltid,mellemmåltidspris," ")</f>
        <v xml:space="preserve"> </v>
      </c>
      <c r="F31" s="71" t="str">
        <f>IF(Tilmeldingsoversigt!$C$11="x",mellemmåltid," ")</f>
        <v xml:space="preserve"> </v>
      </c>
      <c r="G31" s="72" t="str">
        <f>IF(F31=mellemmåltid,mellemmåltidspris," ")</f>
        <v xml:space="preserve"> </v>
      </c>
      <c r="H31" s="71" t="str">
        <f>IF(Tilmeldingsoversigt!$C$11="x",mellemmåltid," ")</f>
        <v xml:space="preserve"> </v>
      </c>
      <c r="I31" s="72" t="str">
        <f>IF(H31=mellemmåltid,mellemmåltidspris," ")</f>
        <v xml:space="preserve"> </v>
      </c>
      <c r="J31" s="71" t="str">
        <f>IF(Tilmeldingsoversigt!$C$11="x",mellemmåltid," ")</f>
        <v xml:space="preserve"> </v>
      </c>
      <c r="K31" s="73" t="str">
        <f>IF(J31=mellemmåltid,mellemmåltidspris," ")</f>
        <v xml:space="preserve"> </v>
      </c>
      <c r="L31" s="71" t="str">
        <f>IF(Tilmeldingsoversigt!$C$11="x",mellemmåltid," ")</f>
        <v xml:space="preserve"> </v>
      </c>
      <c r="M31" s="72" t="str">
        <f>IF(L31=mellemmåltid,mellemmåltidspris," ")</f>
        <v xml:space="preserve"> </v>
      </c>
      <c r="N31" s="71" t="str">
        <f>IF(Tilmeldingsoversigt!$C$11="x",mellemmåltid," ")</f>
        <v xml:space="preserve"> </v>
      </c>
      <c r="O31" s="73" t="str">
        <f>IF(N31=mellemmåltid,mellemmåltidspris," ")</f>
        <v xml:space="preserve"> </v>
      </c>
      <c r="P31" s="66"/>
    </row>
    <row r="32" spans="1:16" ht="11.25" customHeight="1" x14ac:dyDescent="0.25">
      <c r="B32" s="84" t="s">
        <v>44</v>
      </c>
      <c r="C32" s="11">
        <f ca="1">SUM(C27:C31)</f>
        <v>99.311475409836063</v>
      </c>
      <c r="D32" s="74"/>
      <c r="E32" s="11">
        <f ca="1">SUM(E27:E31)</f>
        <v>99.311475409836063</v>
      </c>
      <c r="F32" s="74"/>
      <c r="G32" s="11">
        <f ca="1">SUM(G27:G31)</f>
        <v>99.311475409836063</v>
      </c>
      <c r="H32" s="74"/>
      <c r="I32" s="11">
        <f ca="1">SUM(I27:I31)</f>
        <v>99.311475409836063</v>
      </c>
      <c r="J32" s="74"/>
      <c r="K32" s="11">
        <f ca="1">SUM(K27:K31)</f>
        <v>99.311475409836063</v>
      </c>
      <c r="L32" s="74"/>
      <c r="M32" s="11">
        <f ca="1">SUM(M27:M31)</f>
        <v>99.311475409836063</v>
      </c>
      <c r="N32" s="74"/>
      <c r="O32" s="12">
        <f ca="1">SUM(O27:O31)</f>
        <v>99.311475409836063</v>
      </c>
      <c r="P32" s="75">
        <f ca="1">SUM(C32,E32,G32,I32,K32,M32,O32)</f>
        <v>695.18032786885237</v>
      </c>
    </row>
    <row r="33" spans="1:16" ht="11.25" customHeight="1" x14ac:dyDescent="0.2">
      <c r="A33" s="49"/>
      <c r="B33" s="76"/>
      <c r="C33" s="77"/>
      <c r="D33" s="77"/>
      <c r="E33" s="77"/>
      <c r="F33" s="77"/>
      <c r="G33" s="77"/>
      <c r="H33" s="77"/>
      <c r="I33" s="77"/>
      <c r="J33" s="77"/>
      <c r="K33" s="77"/>
      <c r="L33" s="77"/>
      <c r="M33" s="77"/>
      <c r="N33" s="77"/>
      <c r="O33" s="77"/>
      <c r="P33" s="76"/>
    </row>
    <row r="34" spans="1:16" ht="15" customHeight="1" x14ac:dyDescent="0.25">
      <c r="A34" s="54"/>
      <c r="B34" s="78">
        <f>N25+1</f>
        <v>22</v>
      </c>
      <c r="C34" s="79"/>
      <c r="D34" s="78">
        <f>B34+1</f>
        <v>23</v>
      </c>
      <c r="E34" s="79"/>
      <c r="F34" s="78">
        <f>D34+1</f>
        <v>24</v>
      </c>
      <c r="G34" s="79"/>
      <c r="H34" s="78">
        <f>F34+1</f>
        <v>25</v>
      </c>
      <c r="I34" s="79"/>
      <c r="J34" s="78">
        <f>H34+1</f>
        <v>26</v>
      </c>
      <c r="K34" s="79"/>
      <c r="L34" s="78">
        <f>J34+1</f>
        <v>27</v>
      </c>
      <c r="M34" s="79"/>
      <c r="N34" s="78">
        <f>L34+1</f>
        <v>28</v>
      </c>
      <c r="O34" s="79"/>
      <c r="P34" s="80"/>
    </row>
    <row r="35" spans="1:16" ht="11.25" customHeight="1" x14ac:dyDescent="0.25">
      <c r="A35" s="54"/>
      <c r="B35" s="64" t="s">
        <v>42</v>
      </c>
      <c r="C35" s="81" t="s">
        <v>43</v>
      </c>
      <c r="D35" s="64" t="s">
        <v>42</v>
      </c>
      <c r="E35" s="81" t="s">
        <v>43</v>
      </c>
      <c r="F35" s="64" t="s">
        <v>42</v>
      </c>
      <c r="G35" s="81" t="s">
        <v>43</v>
      </c>
      <c r="H35" s="64" t="s">
        <v>42</v>
      </c>
      <c r="I35" s="81" t="s">
        <v>43</v>
      </c>
      <c r="J35" s="64" t="s">
        <v>42</v>
      </c>
      <c r="K35" s="81" t="s">
        <v>43</v>
      </c>
      <c r="L35" s="64" t="s">
        <v>42</v>
      </c>
      <c r="M35" s="81" t="s">
        <v>43</v>
      </c>
      <c r="N35" s="64" t="s">
        <v>42</v>
      </c>
      <c r="O35" s="82" t="s">
        <v>43</v>
      </c>
      <c r="P35" s="66"/>
    </row>
    <row r="36" spans="1:16" ht="11.25" customHeight="1" x14ac:dyDescent="0.25">
      <c r="A36" s="54"/>
      <c r="B36" s="136" t="str">
        <f>IF(Tilmeldingsoversigt!$C$7="x",Morgenmad," ")</f>
        <v>Morgenmad</v>
      </c>
      <c r="C36" s="67">
        <f ca="1">IF(B36=Morgenmad,Tilmeldingsoversigt!$C$15," ")</f>
        <v>16.754098360655739</v>
      </c>
      <c r="D36" s="136" t="str">
        <f>IF(Tilmeldingsoversigt!$D$7="x",Morgenmad," ")</f>
        <v>Morgenmad</v>
      </c>
      <c r="E36" s="67">
        <f ca="1">IF(D36=Morgenmad,Tilmeldingsoversigt!$C$15," ")</f>
        <v>16.754098360655739</v>
      </c>
      <c r="F36" s="136" t="str">
        <f>IF(Tilmeldingsoversigt!$E$7="x",Morgenmad," ")</f>
        <v>Morgenmad</v>
      </c>
      <c r="G36" s="67">
        <f ca="1">IF(F36=Morgenmad,Tilmeldingsoversigt!$C$15," ")</f>
        <v>16.754098360655739</v>
      </c>
      <c r="H36" s="136" t="str">
        <f>IF(Tilmeldingsoversigt!$F$7="x",Morgenmad," ")</f>
        <v>Morgenmad</v>
      </c>
      <c r="I36" s="67">
        <f ca="1">IF(H36=Morgenmad,Tilmeldingsoversigt!$C$15," ")</f>
        <v>16.754098360655739</v>
      </c>
      <c r="J36" s="136" t="str">
        <f>IF(Tilmeldingsoversigt!$G$7="x",Morgenmad," ")</f>
        <v>Morgenmad</v>
      </c>
      <c r="K36" s="67">
        <f ca="1">IF(J36=Morgenmad,Tilmeldingsoversigt!$C$15," ")</f>
        <v>16.754098360655739</v>
      </c>
      <c r="L36" s="136" t="str">
        <f>IF(Tilmeldingsoversigt!$H$7="x",Morgenmad," ")</f>
        <v>Morgenmad</v>
      </c>
      <c r="M36" s="67">
        <f ca="1">IF(L36=Morgenmad,Tilmeldingsoversigt!$C$15," ")</f>
        <v>16.754098360655739</v>
      </c>
      <c r="N36" s="136" t="str">
        <f>IF(Tilmeldingsoversigt!$I$7="x",Morgenmad," ")</f>
        <v>Morgenmad</v>
      </c>
      <c r="O36" s="83">
        <f ca="1">IF(N36=Morgenmad,Tilmeldingsoversigt!$C$15," ")</f>
        <v>16.754098360655739</v>
      </c>
      <c r="P36" s="66"/>
    </row>
    <row r="37" spans="1:16" ht="11.25" customHeight="1" x14ac:dyDescent="0.25">
      <c r="A37" s="54"/>
      <c r="B37" s="68" t="str">
        <f>IF(Tilmeldingsoversigt!$C$8="x",hovedret," ")</f>
        <v>Hovedret</v>
      </c>
      <c r="C37" s="69">
        <f ca="1">IF(B37=hovedret,Tilmeldingsoversigt!$C$16," ")</f>
        <v>55.016393442622949</v>
      </c>
      <c r="D37" s="68" t="str">
        <f>IF(Tilmeldingsoversigt!$D$8="x",hovedret," ")</f>
        <v>Hovedret</v>
      </c>
      <c r="E37" s="69">
        <f ca="1">IF(D37=hovedret,Tilmeldingsoversigt!$C$16," ")</f>
        <v>55.016393442622949</v>
      </c>
      <c r="F37" s="68" t="str">
        <f>IF(Tilmeldingsoversigt!$E$8="x",hovedret," ")</f>
        <v>Hovedret</v>
      </c>
      <c r="G37" s="69">
        <f ca="1">IF(F37=hovedret,Tilmeldingsoversigt!$C$16," ")</f>
        <v>55.016393442622949</v>
      </c>
      <c r="H37" s="68" t="str">
        <f>IF(Tilmeldingsoversigt!$F$8="x",hovedret," ")</f>
        <v>Hovedret</v>
      </c>
      <c r="I37" s="69">
        <f ca="1">IF(H37=hovedret,Tilmeldingsoversigt!$C$16," ")</f>
        <v>55.016393442622949</v>
      </c>
      <c r="J37" s="68" t="str">
        <f>IF(Tilmeldingsoversigt!$G$8="x",hovedret," ")</f>
        <v>Hovedret</v>
      </c>
      <c r="K37" s="69">
        <f ca="1">IF(J37=hovedret,Tilmeldingsoversigt!$C$16," ")</f>
        <v>55.016393442622949</v>
      </c>
      <c r="L37" s="68" t="str">
        <f>IF(Tilmeldingsoversigt!$H$8="x",hovedret," ")</f>
        <v>Hovedret</v>
      </c>
      <c r="M37" s="69">
        <f ca="1">IF(L37=hovedret,Tilmeldingsoversigt!$C$16," ")</f>
        <v>55.016393442622949</v>
      </c>
      <c r="N37" s="68" t="str">
        <f>IF(Tilmeldingsoversigt!$I$8="x",hovedret," ")</f>
        <v>Hovedret</v>
      </c>
      <c r="O37" s="70">
        <f ca="1">IF(N37=hovedret,Tilmeldingsoversigt!$C$16," ")</f>
        <v>55.016393442622949</v>
      </c>
      <c r="P37" s="66"/>
    </row>
    <row r="38" spans="1:16" ht="11.25" customHeight="1" x14ac:dyDescent="0.25">
      <c r="A38" s="54"/>
      <c r="B38" s="68" t="str">
        <f>IF(Tilmeldingsoversigt!$C$9="x",Aftensmad," ")</f>
        <v>Aftensmad</v>
      </c>
      <c r="C38" s="69">
        <f ca="1">IF(B38=Aftensmad,Tilmeldingsoversigt!$C$17," ")</f>
        <v>27.540983606557376</v>
      </c>
      <c r="D38" s="68" t="str">
        <f>IF(Tilmeldingsoversigt!$D$9="x",Aftensmad," ")</f>
        <v>Aftensmad</v>
      </c>
      <c r="E38" s="69">
        <f ca="1">IF(D38=Aftensmad,Tilmeldingsoversigt!$C$17," ")</f>
        <v>27.540983606557376</v>
      </c>
      <c r="F38" s="68" t="str">
        <f>IF(Tilmeldingsoversigt!$E$9="x",Aftensmad," ")</f>
        <v>Aftensmad</v>
      </c>
      <c r="G38" s="69">
        <f ca="1">IF(F38=Aftensmad,Tilmeldingsoversigt!$C$17," ")</f>
        <v>27.540983606557376</v>
      </c>
      <c r="H38" s="68" t="str">
        <f>IF(Tilmeldingsoversigt!$F$9="x",Aftensmad," ")</f>
        <v>Aftensmad</v>
      </c>
      <c r="I38" s="69">
        <f ca="1">IF(H38=Aftensmad,Tilmeldingsoversigt!$C$17," ")</f>
        <v>27.540983606557376</v>
      </c>
      <c r="J38" s="68" t="str">
        <f>IF(Tilmeldingsoversigt!$G$9="x",Aftensmad," ")</f>
        <v>Aftensmad</v>
      </c>
      <c r="K38" s="69">
        <f ca="1">IF(J38=Aftensmad,Tilmeldingsoversigt!$C$17," ")</f>
        <v>27.540983606557376</v>
      </c>
      <c r="L38" s="68" t="str">
        <f>IF(Tilmeldingsoversigt!$H$9="x",Aftensmad," ")</f>
        <v>Aftensmad</v>
      </c>
      <c r="M38" s="69">
        <f ca="1">IF(L38=Aftensmad,Tilmeldingsoversigt!$C$17," ")</f>
        <v>27.540983606557376</v>
      </c>
      <c r="N38" s="68" t="str">
        <f>IF(Tilmeldingsoversigt!$I$9="x",Aftensmad," ")</f>
        <v>Aftensmad</v>
      </c>
      <c r="O38" s="70">
        <f ca="1">IF(N38=Aftensmad,Tilmeldingsoversigt!$C$17," ")</f>
        <v>27.540983606557376</v>
      </c>
      <c r="P38" s="66"/>
    </row>
    <row r="39" spans="1:16" ht="11.25" customHeight="1" x14ac:dyDescent="0.25">
      <c r="A39" s="54"/>
      <c r="B39" s="68" t="str">
        <f>IF(Tilmeldingsoversigt!$C$10="x",biret," ")</f>
        <v>Biret</v>
      </c>
      <c r="C39" s="69">
        <f>IF(B39=biret,biretpris," ")</f>
        <v>0</v>
      </c>
      <c r="D39" s="68" t="str">
        <f>IF(Tilmeldingsoversigt!$D$10="x",biret," ")</f>
        <v>Biret</v>
      </c>
      <c r="E39" s="69">
        <f>IF(D39=biret,biretpris," ")</f>
        <v>0</v>
      </c>
      <c r="F39" s="68" t="str">
        <f>IF(Tilmeldingsoversigt!$E$10="x",biret," ")</f>
        <v>Biret</v>
      </c>
      <c r="G39" s="69">
        <f>IF(F39=biret,biretpris," ")</f>
        <v>0</v>
      </c>
      <c r="H39" s="68" t="str">
        <f>IF(Tilmeldingsoversigt!$F$10="x",biret," ")</f>
        <v>Biret</v>
      </c>
      <c r="I39" s="69">
        <f>IF(H39=biret,biretpris," ")</f>
        <v>0</v>
      </c>
      <c r="J39" s="68" t="str">
        <f>IF(Tilmeldingsoversigt!$G$10="x",biret," ")</f>
        <v>Biret</v>
      </c>
      <c r="K39" s="70">
        <f>IF(J39=biret,biretpris," ")</f>
        <v>0</v>
      </c>
      <c r="L39" s="68" t="str">
        <f>IF(Tilmeldingsoversigt!$H$10="x",biret," ")</f>
        <v>Biret</v>
      </c>
      <c r="M39" s="69">
        <f>IF(L39=biret,biretpris," ")</f>
        <v>0</v>
      </c>
      <c r="N39" s="68" t="str">
        <f>IF(Tilmeldingsoversigt!$I$10="x",biret," ")</f>
        <v>Biret</v>
      </c>
      <c r="O39" s="70">
        <f>IF(N39=biret,biretpris," ")</f>
        <v>0</v>
      </c>
      <c r="P39" s="66"/>
    </row>
    <row r="40" spans="1:16" ht="11.25" customHeight="1" x14ac:dyDescent="0.25">
      <c r="A40" s="54"/>
      <c r="B40" s="71" t="str">
        <f>IF(Tilmeldingsoversigt!$C$11="x",mellemmåltid," ")</f>
        <v xml:space="preserve"> </v>
      </c>
      <c r="C40" s="69" t="str">
        <f>IF(B40=mellemmåltid,mellemmåltidspris," ")</f>
        <v xml:space="preserve"> </v>
      </c>
      <c r="D40" s="71" t="str">
        <f>IF(Tilmeldingsoversigt!$C$11="x",mellemmåltid," ")</f>
        <v xml:space="preserve"> </v>
      </c>
      <c r="E40" s="72" t="str">
        <f>IF(D40=mellemmåltid,mellemmåltidspris," ")</f>
        <v xml:space="preserve"> </v>
      </c>
      <c r="F40" s="71" t="str">
        <f>IF(Tilmeldingsoversigt!$C$11="x",mellemmåltid," ")</f>
        <v xml:space="preserve"> </v>
      </c>
      <c r="G40" s="72" t="str">
        <f>IF(F40=mellemmåltid,mellemmåltidspris," ")</f>
        <v xml:space="preserve"> </v>
      </c>
      <c r="H40" s="71" t="str">
        <f>IF(Tilmeldingsoversigt!$C$11="x",mellemmåltid," ")</f>
        <v xml:space="preserve"> </v>
      </c>
      <c r="I40" s="72" t="str">
        <f>IF(H40=mellemmåltid,mellemmåltidspris," ")</f>
        <v xml:space="preserve"> </v>
      </c>
      <c r="J40" s="71" t="str">
        <f>IF(Tilmeldingsoversigt!$C$11="x",mellemmåltid," ")</f>
        <v xml:space="preserve"> </v>
      </c>
      <c r="K40" s="73" t="str">
        <f>IF(J40=mellemmåltid,mellemmåltidspris," ")</f>
        <v xml:space="preserve"> </v>
      </c>
      <c r="L40" s="71" t="str">
        <f>IF(Tilmeldingsoversigt!$C$11="x",mellemmåltid," ")</f>
        <v xml:space="preserve"> </v>
      </c>
      <c r="M40" s="72" t="str">
        <f>IF(L40=mellemmåltid,mellemmåltidspris," ")</f>
        <v xml:space="preserve"> </v>
      </c>
      <c r="N40" s="71" t="str">
        <f>IF(Tilmeldingsoversigt!$C$11="x",mellemmåltid," ")</f>
        <v xml:space="preserve"> </v>
      </c>
      <c r="O40" s="73" t="str">
        <f>IF(N40=mellemmåltid,mellemmåltidspris," ")</f>
        <v xml:space="preserve"> </v>
      </c>
      <c r="P40" s="66"/>
    </row>
    <row r="41" spans="1:16" ht="11.25" customHeight="1" x14ac:dyDescent="0.25">
      <c r="B41" s="74" t="s">
        <v>44</v>
      </c>
      <c r="C41" s="11">
        <f ca="1">SUM(C36:C40)</f>
        <v>99.311475409836063</v>
      </c>
      <c r="D41" s="74"/>
      <c r="E41" s="11">
        <f ca="1">SUM(E36:E40)</f>
        <v>99.311475409836063</v>
      </c>
      <c r="F41" s="74"/>
      <c r="G41" s="11">
        <f ca="1">SUM(G36:G40)</f>
        <v>99.311475409836063</v>
      </c>
      <c r="H41" s="74"/>
      <c r="I41" s="11">
        <f ca="1">SUM(I36:I40)</f>
        <v>99.311475409836063</v>
      </c>
      <c r="J41" s="74"/>
      <c r="K41" s="11">
        <f ca="1">SUM(K36:K40)</f>
        <v>99.311475409836063</v>
      </c>
      <c r="L41" s="74"/>
      <c r="M41" s="11">
        <f ca="1">SUM(M36:M40)</f>
        <v>99.311475409836063</v>
      </c>
      <c r="N41" s="74"/>
      <c r="O41" s="12">
        <f ca="1">SUM(O36:O40)</f>
        <v>99.311475409836063</v>
      </c>
      <c r="P41" s="75">
        <f ca="1">SUM(C41,E41,G41,I41,K41,M41,O41)</f>
        <v>695.18032786885237</v>
      </c>
    </row>
    <row r="42" spans="1:16" ht="11.25" customHeight="1" x14ac:dyDescent="0.2">
      <c r="A42" s="49"/>
      <c r="B42" s="76"/>
      <c r="C42" s="77"/>
      <c r="D42" s="77"/>
      <c r="E42" s="77"/>
      <c r="F42" s="77"/>
      <c r="G42" s="77"/>
      <c r="H42" s="77"/>
      <c r="I42" s="77"/>
      <c r="J42" s="77"/>
      <c r="K42" s="77"/>
      <c r="L42" s="77"/>
      <c r="M42" s="77"/>
      <c r="N42" s="77"/>
      <c r="O42" s="77"/>
      <c r="P42" s="76"/>
    </row>
    <row r="43" spans="1:16" ht="15" customHeight="1" x14ac:dyDescent="0.25">
      <c r="A43" s="54"/>
      <c r="B43" s="78">
        <f>DAY(IF(DAY(JanSøn1)=1,JanSøn1+22,JanSøn1+29))</f>
        <v>29</v>
      </c>
      <c r="C43" s="79"/>
      <c r="D43" s="78">
        <f>DAY(IF(DAY(JanSøn1)=1,JanSøn1+23,JanSøn1+30))</f>
        <v>30</v>
      </c>
      <c r="E43" s="79"/>
      <c r="F43" s="78">
        <f>DAY(IF(DAY(JanSøn1)=1,JanSøn1+24,JanSøn1+31))</f>
        <v>31</v>
      </c>
      <c r="G43" s="79"/>
      <c r="H43" s="78">
        <f>DAY(IF(DAY(JanSøn1)=1,JanSøn1+25,JanSøn1+32))</f>
        <v>1</v>
      </c>
      <c r="I43" s="79"/>
      <c r="J43" s="78">
        <f>DAY(IF(DAY(JanSøn1)=1,JanSøn1+26,JanSøn1+33))</f>
        <v>2</v>
      </c>
      <c r="K43" s="79"/>
      <c r="L43" s="78">
        <f>DAY(IF(DAY(JanSøn1)=1,JanSøn1+27,JanSøn1+34))</f>
        <v>3</v>
      </c>
      <c r="M43" s="79"/>
      <c r="N43" s="78">
        <f>DAY(IF(DAY(JanSøn1)=1,JanSøn1+28,JanSøn1+35))</f>
        <v>4</v>
      </c>
      <c r="O43" s="79"/>
      <c r="P43" s="85"/>
    </row>
    <row r="44" spans="1:16" ht="11.25" customHeight="1" x14ac:dyDescent="0.25">
      <c r="A44" s="54"/>
      <c r="B44" s="64" t="s">
        <v>42</v>
      </c>
      <c r="C44" s="81" t="s">
        <v>43</v>
      </c>
      <c r="D44" s="64" t="s">
        <v>42</v>
      </c>
      <c r="E44" s="81" t="s">
        <v>43</v>
      </c>
      <c r="F44" s="64" t="s">
        <v>42</v>
      </c>
      <c r="G44" s="81" t="s">
        <v>43</v>
      </c>
      <c r="H44" s="64" t="s">
        <v>42</v>
      </c>
      <c r="I44" s="81" t="s">
        <v>43</v>
      </c>
      <c r="J44" s="64" t="s">
        <v>42</v>
      </c>
      <c r="K44" s="81" t="s">
        <v>43</v>
      </c>
      <c r="L44" s="64" t="s">
        <v>42</v>
      </c>
      <c r="M44" s="81" t="s">
        <v>43</v>
      </c>
      <c r="N44" s="64" t="s">
        <v>42</v>
      </c>
      <c r="O44" s="82" t="s">
        <v>43</v>
      </c>
      <c r="P44" s="66"/>
    </row>
    <row r="45" spans="1:16" ht="11.25" customHeight="1" x14ac:dyDescent="0.25">
      <c r="A45" s="54"/>
      <c r="B45" s="136" t="str">
        <f>IF(Tilmeldingsoversigt!$C$7="x",Morgenmad," ")</f>
        <v>Morgenmad</v>
      </c>
      <c r="C45" s="67">
        <f ca="1">IF(B45=Morgenmad,Tilmeldingsoversigt!$C$15," ")</f>
        <v>16.754098360655739</v>
      </c>
      <c r="D45" s="136" t="str">
        <f>IF(Tilmeldingsoversigt!$D$7="x",Morgenmad," ")</f>
        <v>Morgenmad</v>
      </c>
      <c r="E45" s="67">
        <f ca="1">IF(D45=Morgenmad,Tilmeldingsoversigt!$C$15," ")</f>
        <v>16.754098360655739</v>
      </c>
      <c r="F45" s="136" t="str">
        <f>IF(Tilmeldingsoversigt!$E$7="x",Morgenmad," ")</f>
        <v>Morgenmad</v>
      </c>
      <c r="G45" s="67">
        <f ca="1">IF(F45=Morgenmad,Tilmeldingsoversigt!$C$15," ")</f>
        <v>16.754098360655739</v>
      </c>
      <c r="H45" s="136" t="str">
        <f>IF(Tilmeldingsoversigt!$F$7="x",Morgenmad," ")</f>
        <v>Morgenmad</v>
      </c>
      <c r="I45" s="67">
        <f ca="1">IF(H45=Morgenmad,Tilmeldingsoversigt!$C$15," ")</f>
        <v>16.754098360655739</v>
      </c>
      <c r="J45" s="136" t="str">
        <f>IF(Tilmeldingsoversigt!$G$7="x",Morgenmad," ")</f>
        <v>Morgenmad</v>
      </c>
      <c r="K45" s="67">
        <f ca="1">IF(J45=Morgenmad,Tilmeldingsoversigt!$C$15," ")</f>
        <v>16.754098360655739</v>
      </c>
      <c r="L45" s="136" t="str">
        <f>IF(Tilmeldingsoversigt!$H$7="x",Morgenmad," ")</f>
        <v>Morgenmad</v>
      </c>
      <c r="M45" s="67">
        <f ca="1">IF(L45=Morgenmad,Tilmeldingsoversigt!$C$15," ")</f>
        <v>16.754098360655739</v>
      </c>
      <c r="N45" s="136" t="str">
        <f>IF(Tilmeldingsoversigt!$I$7="x",Morgenmad," ")</f>
        <v>Morgenmad</v>
      </c>
      <c r="O45" s="83">
        <f ca="1">IF(N45=Morgenmad,Tilmeldingsoversigt!$C$15," ")</f>
        <v>16.754098360655739</v>
      </c>
      <c r="P45" s="66"/>
    </row>
    <row r="46" spans="1:16" ht="11.25" customHeight="1" x14ac:dyDescent="0.25">
      <c r="A46" s="54"/>
      <c r="B46" s="68" t="str">
        <f>IF(Tilmeldingsoversigt!$C$8="x",hovedret," ")</f>
        <v>Hovedret</v>
      </c>
      <c r="C46" s="69">
        <f ca="1">IF(B46=hovedret,Tilmeldingsoversigt!$C$16," ")</f>
        <v>55.016393442622949</v>
      </c>
      <c r="D46" s="68" t="str">
        <f>IF(Tilmeldingsoversigt!$D$8="x",hovedret," ")</f>
        <v>Hovedret</v>
      </c>
      <c r="E46" s="69">
        <f ca="1">IF(D46=hovedret,Tilmeldingsoversigt!$C$16," ")</f>
        <v>55.016393442622949</v>
      </c>
      <c r="F46" s="68" t="str">
        <f>IF(Tilmeldingsoversigt!$E$8="x",hovedret," ")</f>
        <v>Hovedret</v>
      </c>
      <c r="G46" s="69">
        <f ca="1">IF(F46=hovedret,Tilmeldingsoversigt!$C$16," ")</f>
        <v>55.016393442622949</v>
      </c>
      <c r="H46" s="68" t="str">
        <f>IF(Tilmeldingsoversigt!$F$8="x",hovedret," ")</f>
        <v>Hovedret</v>
      </c>
      <c r="I46" s="69">
        <f ca="1">IF(H46=hovedret,Tilmeldingsoversigt!$C$16," ")</f>
        <v>55.016393442622949</v>
      </c>
      <c r="J46" s="68" t="str">
        <f>IF(Tilmeldingsoversigt!$G$8="x",hovedret," ")</f>
        <v>Hovedret</v>
      </c>
      <c r="K46" s="69">
        <f ca="1">IF(J46=hovedret,Tilmeldingsoversigt!$C$16," ")</f>
        <v>55.016393442622949</v>
      </c>
      <c r="L46" s="68" t="str">
        <f>IF(Tilmeldingsoversigt!$H$8="x",hovedret," ")</f>
        <v>Hovedret</v>
      </c>
      <c r="M46" s="69">
        <f ca="1">IF(L46=hovedret,Tilmeldingsoversigt!$C$16," ")</f>
        <v>55.016393442622949</v>
      </c>
      <c r="N46" s="68" t="str">
        <f>IF(Tilmeldingsoversigt!$I$8="x",hovedret," ")</f>
        <v>Hovedret</v>
      </c>
      <c r="O46" s="70">
        <f ca="1">IF(N46=hovedret,Tilmeldingsoversigt!$C$16," ")</f>
        <v>55.016393442622949</v>
      </c>
      <c r="P46" s="66"/>
    </row>
    <row r="47" spans="1:16" ht="11.25" customHeight="1" x14ac:dyDescent="0.25">
      <c r="A47" s="54"/>
      <c r="B47" s="68" t="str">
        <f>IF(Tilmeldingsoversigt!$C$9="x",Aftensmad," ")</f>
        <v>Aftensmad</v>
      </c>
      <c r="C47" s="69">
        <f ca="1">IF(B47=Aftensmad,Tilmeldingsoversigt!$C$17," ")</f>
        <v>27.540983606557376</v>
      </c>
      <c r="D47" s="68" t="str">
        <f>IF(Tilmeldingsoversigt!$D$9="x",Aftensmad," ")</f>
        <v>Aftensmad</v>
      </c>
      <c r="E47" s="69">
        <f ca="1">IF(D47=Aftensmad,Tilmeldingsoversigt!$C$17," ")</f>
        <v>27.540983606557376</v>
      </c>
      <c r="F47" s="68" t="str">
        <f>IF(Tilmeldingsoversigt!$E$9="x",Aftensmad," ")</f>
        <v>Aftensmad</v>
      </c>
      <c r="G47" s="69">
        <f ca="1">IF(F47=Aftensmad,Tilmeldingsoversigt!$C$17," ")</f>
        <v>27.540983606557376</v>
      </c>
      <c r="H47" s="68" t="str">
        <f>IF(Tilmeldingsoversigt!$F$9="x",Aftensmad," ")</f>
        <v>Aftensmad</v>
      </c>
      <c r="I47" s="69">
        <f ca="1">IF(H47=Aftensmad,Tilmeldingsoversigt!$C$17," ")</f>
        <v>27.540983606557376</v>
      </c>
      <c r="J47" s="68" t="str">
        <f>IF(Tilmeldingsoversigt!$G$9="x",Aftensmad," ")</f>
        <v>Aftensmad</v>
      </c>
      <c r="K47" s="69">
        <f ca="1">IF(J47=Aftensmad,Tilmeldingsoversigt!$C$17," ")</f>
        <v>27.540983606557376</v>
      </c>
      <c r="L47" s="68" t="str">
        <f>IF(Tilmeldingsoversigt!$H$9="x",Aftensmad," ")</f>
        <v>Aftensmad</v>
      </c>
      <c r="M47" s="69">
        <f ca="1">IF(L47=Aftensmad,Tilmeldingsoversigt!$C$17," ")</f>
        <v>27.540983606557376</v>
      </c>
      <c r="N47" s="68" t="str">
        <f>IF(Tilmeldingsoversigt!$I$9="x",Aftensmad," ")</f>
        <v>Aftensmad</v>
      </c>
      <c r="O47" s="70">
        <f ca="1">IF(N47=Aftensmad,Tilmeldingsoversigt!$C$17," ")</f>
        <v>27.540983606557376</v>
      </c>
      <c r="P47" s="66"/>
    </row>
    <row r="48" spans="1:16" ht="11.25" customHeight="1" x14ac:dyDescent="0.25">
      <c r="A48" s="54"/>
      <c r="B48" s="68" t="str">
        <f>IF(Tilmeldingsoversigt!$C$10="x",biret," ")</f>
        <v>Biret</v>
      </c>
      <c r="C48" s="69">
        <f>IF(B48=biret,biretpris," ")</f>
        <v>0</v>
      </c>
      <c r="D48" s="68" t="str">
        <f>IF(Tilmeldingsoversigt!$D$10="x",biret," ")</f>
        <v>Biret</v>
      </c>
      <c r="E48" s="69">
        <f>IF(D48=biret,biretpris," ")</f>
        <v>0</v>
      </c>
      <c r="F48" s="68" t="str">
        <f>IF(Tilmeldingsoversigt!$E$10="x",biret," ")</f>
        <v>Biret</v>
      </c>
      <c r="G48" s="69">
        <f>IF(F48=biret,biretpris," ")</f>
        <v>0</v>
      </c>
      <c r="H48" s="68" t="str">
        <f>IF(Tilmeldingsoversigt!$F$10="x",biret," ")</f>
        <v>Biret</v>
      </c>
      <c r="I48" s="69">
        <f>IF(H48=biret,biretpris," ")</f>
        <v>0</v>
      </c>
      <c r="J48" s="68" t="str">
        <f>IF(Tilmeldingsoversigt!$G$10="x",biret," ")</f>
        <v>Biret</v>
      </c>
      <c r="K48" s="70">
        <f>IF(J48=biret,biretpris," ")</f>
        <v>0</v>
      </c>
      <c r="L48" s="68" t="str">
        <f>IF(Tilmeldingsoversigt!$H$10="x",biret," ")</f>
        <v>Biret</v>
      </c>
      <c r="M48" s="69">
        <f>IF(L48=biret,biretpris," ")</f>
        <v>0</v>
      </c>
      <c r="N48" s="68" t="str">
        <f>IF(Tilmeldingsoversigt!$I$10="x",biret," ")</f>
        <v>Biret</v>
      </c>
      <c r="O48" s="70">
        <f>IF(N48=biret,biretpris," ")</f>
        <v>0</v>
      </c>
      <c r="P48" s="66"/>
    </row>
    <row r="49" spans="1:16" ht="11.25" customHeight="1" x14ac:dyDescent="0.25">
      <c r="A49" s="54"/>
      <c r="B49" s="71" t="str">
        <f>IF(Tilmeldingsoversigt!$C$11="x",mellemmåltid," ")</f>
        <v xml:space="preserve"> </v>
      </c>
      <c r="C49" s="69" t="str">
        <f>IF(B49=mellemmåltid,mellemmåltidspris," ")</f>
        <v xml:space="preserve"> </v>
      </c>
      <c r="D49" s="71" t="str">
        <f>IF(Tilmeldingsoversigt!$C$11="x",mellemmåltid," ")</f>
        <v xml:space="preserve"> </v>
      </c>
      <c r="E49" s="72" t="str">
        <f>IF(D49=mellemmåltid,mellemmåltidspris," ")</f>
        <v xml:space="preserve"> </v>
      </c>
      <c r="F49" s="71" t="str">
        <f>IF(Tilmeldingsoversigt!$C$11="x",mellemmåltid," ")</f>
        <v xml:space="preserve"> </v>
      </c>
      <c r="G49" s="72" t="str">
        <f>IF(F49=mellemmåltid,mellemmåltidspris," ")</f>
        <v xml:space="preserve"> </v>
      </c>
      <c r="H49" s="71" t="str">
        <f>IF(Tilmeldingsoversigt!$C$11="x",mellemmåltid," ")</f>
        <v xml:space="preserve"> </v>
      </c>
      <c r="I49" s="72" t="str">
        <f>IF(H49=mellemmåltid,mellemmåltidspris," ")</f>
        <v xml:space="preserve"> </v>
      </c>
      <c r="J49" s="71" t="str">
        <f>IF(Tilmeldingsoversigt!$C$11="x",mellemmåltid," ")</f>
        <v xml:space="preserve"> </v>
      </c>
      <c r="K49" s="73" t="str">
        <f>IF(J49=mellemmåltid,mellemmåltidspris," ")</f>
        <v xml:space="preserve"> </v>
      </c>
      <c r="L49" s="71" t="str">
        <f>IF(Tilmeldingsoversigt!$C$11="x",mellemmåltid," ")</f>
        <v xml:space="preserve"> </v>
      </c>
      <c r="M49" s="72" t="str">
        <f>IF(L49=mellemmåltid,mellemmåltidspris," ")</f>
        <v xml:space="preserve"> </v>
      </c>
      <c r="N49" s="71" t="str">
        <f>IF(Tilmeldingsoversigt!$C$11="x",mellemmåltid," ")</f>
        <v xml:space="preserve"> </v>
      </c>
      <c r="O49" s="73" t="str">
        <f>IF(N49=mellemmåltid,mellemmåltidspris," ")</f>
        <v xml:space="preserve"> </v>
      </c>
      <c r="P49" s="66"/>
    </row>
    <row r="50" spans="1:16" ht="11.25" customHeight="1" x14ac:dyDescent="0.25">
      <c r="B50" s="74" t="s">
        <v>44</v>
      </c>
      <c r="C50" s="11">
        <f ca="1">SUM(C45:C49)</f>
        <v>99.311475409836063</v>
      </c>
      <c r="D50" s="74"/>
      <c r="E50" s="11">
        <f ca="1">SUM(E45:E49)</f>
        <v>99.311475409836063</v>
      </c>
      <c r="F50" s="74"/>
      <c r="G50" s="11">
        <f ca="1">SUM(G45:G49)</f>
        <v>99.311475409836063</v>
      </c>
      <c r="H50" s="74"/>
      <c r="I50" s="11">
        <f ca="1">SUM(I45:I49)</f>
        <v>99.311475409836063</v>
      </c>
      <c r="J50" s="74"/>
      <c r="K50" s="11">
        <f ca="1">SUM(K45:K49)</f>
        <v>99.311475409836063</v>
      </c>
      <c r="L50" s="74"/>
      <c r="M50" s="11">
        <f ca="1">SUM(M45:M49)</f>
        <v>99.311475409836063</v>
      </c>
      <c r="N50" s="74"/>
      <c r="O50" s="11">
        <f ca="1">SUM(O45:O49)</f>
        <v>99.311475409836063</v>
      </c>
      <c r="P50" s="75">
        <f ca="1">SUMIF(B43:N43,"&gt;="&amp;15,C50:O50)</f>
        <v>297.93442622950818</v>
      </c>
    </row>
    <row r="51" spans="1:16" ht="11.25" customHeight="1" x14ac:dyDescent="0.2">
      <c r="A51" s="49"/>
      <c r="B51" s="76"/>
      <c r="C51" s="77"/>
      <c r="D51" s="77"/>
      <c r="E51" s="77"/>
      <c r="F51" s="77"/>
      <c r="G51" s="77"/>
      <c r="H51" s="77"/>
      <c r="I51" s="77"/>
      <c r="J51" s="77"/>
      <c r="K51" s="77"/>
      <c r="L51" s="77"/>
      <c r="M51" s="77"/>
      <c r="N51" s="77"/>
      <c r="O51" s="77"/>
      <c r="P51" s="76"/>
    </row>
    <row r="52" spans="1:16" ht="15" customHeight="1" x14ac:dyDescent="0.25">
      <c r="A52" s="54"/>
      <c r="B52" s="78">
        <f>DAY(IF(DAY(JanSøn1)=1,JanSøn1+29,JanSøn1+36))</f>
        <v>5</v>
      </c>
      <c r="C52" s="91"/>
      <c r="D52" s="78">
        <f>DAY(IF(DAY(JanSøn1)=1,JanSøn1+30,JanSøn1+37))</f>
        <v>6</v>
      </c>
      <c r="E52" s="79"/>
      <c r="F52" s="92">
        <f>DAY(IF(DAY(JanSøn1)=1,JanSøn1+31,JanSøn1+38))</f>
        <v>7</v>
      </c>
      <c r="G52" s="79"/>
      <c r="H52" s="78">
        <f>DAY(IF(DAY(JanSøn1)=1,JanSøn1+32,JanSøn1+39))</f>
        <v>8</v>
      </c>
      <c r="I52" s="79"/>
      <c r="J52" s="78">
        <f>DAY(IF(DAY(JanSøn1)=1,JanSøn1+33,JanSøn1+40))</f>
        <v>9</v>
      </c>
      <c r="K52" s="79"/>
      <c r="L52" s="78">
        <f>DAY(IF(DAY(JanSøn1)=1,JanSøn1+34,JanSøn1+41))</f>
        <v>10</v>
      </c>
      <c r="M52" s="79"/>
      <c r="N52" s="78">
        <f>DAY(IF(DAY(JanSøn1)=1,JanSøn1+35,JanSøn1+42))</f>
        <v>11</v>
      </c>
      <c r="O52" s="79"/>
      <c r="P52" s="85"/>
    </row>
    <row r="53" spans="1:16" ht="11.25" customHeight="1" x14ac:dyDescent="0.25">
      <c r="A53" s="54"/>
      <c r="B53" s="64" t="s">
        <v>42</v>
      </c>
      <c r="C53" s="81" t="s">
        <v>43</v>
      </c>
      <c r="D53" s="64" t="s">
        <v>42</v>
      </c>
      <c r="E53" s="81" t="s">
        <v>43</v>
      </c>
      <c r="F53" s="64" t="s">
        <v>42</v>
      </c>
      <c r="G53" s="81" t="s">
        <v>43</v>
      </c>
      <c r="H53" s="64" t="s">
        <v>42</v>
      </c>
      <c r="I53" s="81" t="s">
        <v>43</v>
      </c>
      <c r="J53" s="64" t="s">
        <v>42</v>
      </c>
      <c r="K53" s="81" t="s">
        <v>43</v>
      </c>
      <c r="L53" s="64" t="s">
        <v>42</v>
      </c>
      <c r="M53" s="81" t="s">
        <v>43</v>
      </c>
      <c r="N53" s="64" t="s">
        <v>42</v>
      </c>
      <c r="O53" s="82" t="s">
        <v>43</v>
      </c>
      <c r="P53" s="66"/>
    </row>
    <row r="54" spans="1:16" ht="11.25" customHeight="1" x14ac:dyDescent="0.25">
      <c r="A54" s="54"/>
      <c r="B54" s="136"/>
      <c r="C54" s="67"/>
      <c r="D54" s="136"/>
      <c r="E54" s="67"/>
      <c r="F54" s="136"/>
      <c r="G54" s="67"/>
      <c r="H54" s="136"/>
      <c r="I54" s="67"/>
      <c r="J54" s="136"/>
      <c r="K54" s="67"/>
      <c r="L54" s="136"/>
      <c r="M54" s="67"/>
      <c r="N54" s="136"/>
      <c r="O54" s="83"/>
      <c r="P54" s="66"/>
    </row>
    <row r="55" spans="1:16" ht="11.25" customHeight="1" x14ac:dyDescent="0.25">
      <c r="A55" s="54"/>
      <c r="B55" s="68"/>
      <c r="C55" s="69"/>
      <c r="D55" s="68"/>
      <c r="E55" s="69"/>
      <c r="F55" s="68"/>
      <c r="G55" s="69"/>
      <c r="H55" s="68"/>
      <c r="I55" s="69"/>
      <c r="J55" s="68"/>
      <c r="K55" s="69"/>
      <c r="L55" s="68"/>
      <c r="M55" s="69"/>
      <c r="N55" s="68"/>
      <c r="O55" s="70"/>
      <c r="P55" s="66"/>
    </row>
    <row r="56" spans="1:16" ht="11.25" customHeight="1" x14ac:dyDescent="0.25">
      <c r="A56" s="54"/>
      <c r="B56" s="68"/>
      <c r="C56" s="69"/>
      <c r="D56" s="68"/>
      <c r="E56" s="69"/>
      <c r="F56" s="68"/>
      <c r="G56" s="69"/>
      <c r="H56" s="68"/>
      <c r="I56" s="69"/>
      <c r="J56" s="68"/>
      <c r="K56" s="69"/>
      <c r="L56" s="68"/>
      <c r="M56" s="69"/>
      <c r="N56" s="68"/>
      <c r="O56" s="70"/>
      <c r="P56" s="66"/>
    </row>
    <row r="57" spans="1:16" ht="11.25" customHeight="1" x14ac:dyDescent="0.25">
      <c r="A57" s="54"/>
      <c r="B57" s="68"/>
      <c r="C57" s="69"/>
      <c r="D57" s="68"/>
      <c r="E57" s="69"/>
      <c r="F57" s="68"/>
      <c r="G57" s="69"/>
      <c r="H57" s="68"/>
      <c r="I57" s="69"/>
      <c r="J57" s="68"/>
      <c r="K57" s="69"/>
      <c r="L57" s="68"/>
      <c r="M57" s="69"/>
      <c r="N57" s="68"/>
      <c r="O57" s="70"/>
      <c r="P57" s="66"/>
    </row>
    <row r="58" spans="1:16" ht="11.25" customHeight="1" x14ac:dyDescent="0.25">
      <c r="A58" s="54"/>
      <c r="B58" s="71"/>
      <c r="C58" s="72"/>
      <c r="D58" s="71"/>
      <c r="E58" s="72"/>
      <c r="F58" s="71"/>
      <c r="G58" s="72"/>
      <c r="H58" s="71"/>
      <c r="I58" s="72"/>
      <c r="J58" s="71"/>
      <c r="K58" s="72"/>
      <c r="L58" s="71"/>
      <c r="M58" s="72"/>
      <c r="N58" s="71"/>
      <c r="O58" s="73"/>
      <c r="P58" s="66"/>
    </row>
    <row r="59" spans="1:16" ht="11.25" customHeight="1" x14ac:dyDescent="0.25">
      <c r="B59" s="74" t="s">
        <v>44</v>
      </c>
      <c r="C59" s="11">
        <f>SUM(C54:C58)</f>
        <v>0</v>
      </c>
      <c r="D59" s="74"/>
      <c r="E59" s="11">
        <f>SUM(E54:E58)</f>
        <v>0</v>
      </c>
      <c r="F59" s="74"/>
      <c r="G59" s="11">
        <f>SUM(G54:G58)</f>
        <v>0</v>
      </c>
      <c r="H59" s="74"/>
      <c r="I59" s="11">
        <f>SUM(I54:I58)</f>
        <v>0</v>
      </c>
      <c r="J59" s="74"/>
      <c r="K59" s="11">
        <f>SUM(K54:K58)</f>
        <v>0</v>
      </c>
      <c r="L59" s="74"/>
      <c r="M59" s="11">
        <f>SUM(M54:M58)</f>
        <v>0</v>
      </c>
      <c r="N59" s="74"/>
      <c r="O59" s="12">
        <f>SUM(O54:O58)</f>
        <v>0</v>
      </c>
      <c r="P59" s="75">
        <f>SUMIF(B52:N52,"&gt;="&amp;15,C59:O59)</f>
        <v>0</v>
      </c>
    </row>
    <row r="60" spans="1:16" ht="18" customHeight="1" x14ac:dyDescent="0.2">
      <c r="A60" s="49"/>
      <c r="B60" s="76"/>
      <c r="C60" s="77"/>
      <c r="D60" s="77"/>
      <c r="E60" s="77"/>
      <c r="F60" s="77"/>
      <c r="G60" s="77"/>
      <c r="H60" s="77"/>
      <c r="I60" s="77"/>
      <c r="J60" s="77"/>
      <c r="K60" s="77"/>
      <c r="L60" s="77"/>
      <c r="M60" s="77"/>
      <c r="N60" s="77"/>
      <c r="O60" s="77"/>
      <c r="P60" s="76"/>
    </row>
    <row r="61" spans="1:16" ht="12" x14ac:dyDescent="0.2">
      <c r="B61" s="246" t="s">
        <v>45</v>
      </c>
      <c r="C61" s="246"/>
      <c r="D61" s="246"/>
      <c r="E61" s="246"/>
      <c r="F61" s="49"/>
      <c r="G61" s="132">
        <f ca="1">Tilmeldingsoversigt!E15-(28-'Tilmeldte måltider'!G62)*Morgenpris</f>
        <v>511</v>
      </c>
      <c r="H61" s="49"/>
      <c r="I61" s="132">
        <f ca="1">Tilmeldingsoversigt!E16-(28-'Tilmeldte måltider'!I62)*Frokostpris</f>
        <v>1678</v>
      </c>
      <c r="J61" s="49"/>
      <c r="K61" s="132">
        <f ca="1">Tilmeldingsoversigt!E17-(28-'Tilmeldte måltider'!K62)*Aftenpris</f>
        <v>840</v>
      </c>
      <c r="L61" s="247" t="s">
        <v>32</v>
      </c>
      <c r="M61" s="247"/>
      <c r="N61" s="247" t="s">
        <v>33</v>
      </c>
      <c r="O61" s="247"/>
      <c r="P61" s="49"/>
    </row>
    <row r="62" spans="1:16" ht="25.5" customHeight="1" x14ac:dyDescent="0.25">
      <c r="B62" s="246"/>
      <c r="C62" s="246"/>
      <c r="D62" s="246"/>
      <c r="E62" s="246"/>
      <c r="F62" s="97" t="str">
        <f>Morgenmad</f>
        <v>Morgenmad</v>
      </c>
      <c r="G62" s="97">
        <f ca="1">IF(L63=FALSE,0,(COUNTIF($B$68:$O$117,Morgenmad)))</f>
        <v>28</v>
      </c>
      <c r="H62" s="97" t="str">
        <f>hovedret</f>
        <v>Hovedret</v>
      </c>
      <c r="I62" s="97">
        <f ca="1">IF(L63=FALSE,0,(COUNTIF(B68:O117,hovedret)))</f>
        <v>28</v>
      </c>
      <c r="J62" s="97" t="str">
        <f>Aftensmad</f>
        <v>Aftensmad</v>
      </c>
      <c r="K62" s="97">
        <f ca="1">IF(L63=FALSE,0,(COUNTIF(B68:O117,Aftensmad)))</f>
        <v>28</v>
      </c>
      <c r="L62" s="248">
        <f ca="1">IF(februar_sum=0,0,månedligtotal)</f>
        <v>3000</v>
      </c>
      <c r="M62" s="249"/>
      <c r="N62" s="248">
        <f ca="1">hovedtotal</f>
        <v>36000.409836065577</v>
      </c>
      <c r="O62" s="250"/>
      <c r="P62" s="49"/>
    </row>
    <row r="63" spans="1:16" ht="25.5" customHeight="1" x14ac:dyDescent="0.45">
      <c r="B63" s="121"/>
      <c r="C63" s="121"/>
      <c r="D63" s="121"/>
      <c r="E63" s="121"/>
      <c r="F63" s="98" t="str">
        <f>biret</f>
        <v>Biret</v>
      </c>
      <c r="G63" s="97">
        <f ca="1">IF(februar_sum=0,0,(COUNTIF($B$69:$O$118,biret)))</f>
        <v>28</v>
      </c>
      <c r="H63" s="98" t="str">
        <f>mellemmåltid</f>
        <v>Mellemmåltid</v>
      </c>
      <c r="I63" s="97">
        <f ca="1">IF(februar_sum=0,0,(COUNTIF($B$69:$O$118,mellemmåltid)))</f>
        <v>0</v>
      </c>
      <c r="J63" s="98"/>
      <c r="K63" s="98"/>
      <c r="L63" s="243" t="b">
        <f>IF(AND(L64,N64)=TRUE,TRUE,FALSE)</f>
        <v>1</v>
      </c>
      <c r="M63" s="244"/>
      <c r="N63" s="137">
        <f ca="1">SUM(G61+I61+K61)</f>
        <v>3029</v>
      </c>
      <c r="O63" s="137"/>
      <c r="P63" s="49"/>
    </row>
    <row r="64" spans="1:16" ht="25.5" hidden="1" customHeight="1" x14ac:dyDescent="0.45">
      <c r="B64" s="121"/>
      <c r="C64" s="121"/>
      <c r="D64" s="121"/>
      <c r="E64" s="121"/>
      <c r="F64" s="138"/>
      <c r="G64" s="138"/>
      <c r="H64" s="138"/>
      <c r="I64" s="138"/>
      <c r="J64" s="138"/>
      <c r="K64" s="138"/>
      <c r="L64" s="242" t="b">
        <f>IF(OR(VLOOKUP(start_måned,Dataark!$C$5:$D$16,2,FALSE)&lt;=2,til_januar=TRUE),TRUE,FALSE)</f>
        <v>1</v>
      </c>
      <c r="M64" s="242"/>
      <c r="N64" s="242" t="b">
        <f>IF(AND(VLOOKUP(slut_måned,Dataark!$C$5:$D$16,2,FALSE)&gt;=2,til_februar=TRUE),TRUE,FALSE)</f>
        <v>1</v>
      </c>
      <c r="O64" s="242"/>
      <c r="P64" s="49"/>
    </row>
    <row r="65" spans="2:16" ht="9" customHeight="1" x14ac:dyDescent="0.2">
      <c r="B65" s="251">
        <v>1</v>
      </c>
      <c r="C65" s="251"/>
      <c r="D65" s="251">
        <v>2</v>
      </c>
      <c r="E65" s="251"/>
      <c r="F65" s="251">
        <v>3</v>
      </c>
      <c r="G65" s="251"/>
      <c r="H65" s="251">
        <v>4</v>
      </c>
      <c r="I65" s="251"/>
      <c r="J65" s="251">
        <v>5</v>
      </c>
      <c r="K65" s="251"/>
      <c r="L65" s="261">
        <v>6</v>
      </c>
      <c r="M65" s="261"/>
      <c r="N65" s="261">
        <v>7</v>
      </c>
      <c r="O65" s="261"/>
      <c r="P65" s="135">
        <f ca="1">IF(L63=TRUE,(N63),0)</f>
        <v>3029</v>
      </c>
    </row>
    <row r="66" spans="2:16" ht="15" customHeight="1" x14ac:dyDescent="0.25">
      <c r="B66" s="252" t="s">
        <v>34</v>
      </c>
      <c r="C66" s="253"/>
      <c r="D66" s="254" t="s">
        <v>35</v>
      </c>
      <c r="E66" s="255" t="e">
        <f>IF(WEEKDAY(DATEVALUE(Month1&amp;" 1, "&amp;Year1))=COLUMN(#REF!),1,IF(LEN(C66)&gt;0,C66+1,""))</f>
        <v>#NAME?</v>
      </c>
      <c r="F66" s="253" t="s">
        <v>36</v>
      </c>
      <c r="G66" s="253" t="e">
        <f>IF(WEEKDAY(DATEVALUE(Month1&amp;" 1, "&amp;Year1))=COLUMN(#REF!),1,IF(LEN(E66)&gt;0,E66+1,""))</f>
        <v>#NAME?</v>
      </c>
      <c r="H66" s="254" t="s">
        <v>37</v>
      </c>
      <c r="I66" s="255" t="e">
        <f>IF(WEEKDAY(DATEVALUE(Month1&amp;" 1, "&amp;Year1))=COLUMN(#REF!),1,IF(LEN(G66)&gt;0,G66+1,""))</f>
        <v>#NAME?</v>
      </c>
      <c r="J66" s="256" t="s">
        <v>38</v>
      </c>
      <c r="K66" s="257" t="e">
        <f>IF(WEEKDAY(DATEVALUE(Month1&amp;" 1, "&amp;Year1))=COLUMN(#REF!),1,IF(LEN(I66)&gt;0,I66+1,""))</f>
        <v>#NAME?</v>
      </c>
      <c r="L66" s="258" t="s">
        <v>39</v>
      </c>
      <c r="M66" s="259" t="e">
        <f>IF(WEEKDAY(DATEVALUE(Month1&amp;" 1, "&amp;Year1))=COLUMN(#REF!),1,IF(LEN(K66)&gt;0,K66+1,""))</f>
        <v>#NAME?</v>
      </c>
      <c r="N66" s="258" t="s">
        <v>40</v>
      </c>
      <c r="O66" s="259" t="e">
        <f>IF(WEEKDAY(DATEVALUE(Month1&amp;" 1, "&amp;Year1))=COLUMN(#REF!),1,IF(LEN(M66)&gt;0,M66+1,""))</f>
        <v>#NAME?</v>
      </c>
      <c r="P66" s="53" t="s">
        <v>41</v>
      </c>
    </row>
    <row r="67" spans="2:16" ht="12.75" x14ac:dyDescent="0.25">
      <c r="B67" s="55">
        <f>DAY(IF(DAY(FebSøn1)=1,FebSøn1-6,FebSøn1+1))</f>
        <v>29</v>
      </c>
      <c r="C67" s="56"/>
      <c r="D67" s="57">
        <f>DAY(IF(DAY(FebSøn1)=1,FebSøn1-5,FebSøn1+2))</f>
        <v>30</v>
      </c>
      <c r="E67" s="56"/>
      <c r="F67" s="57">
        <f>DAY(IF(DAY(FebSøn1)=1,FebSøn1-4,FebSøn1+3))</f>
        <v>31</v>
      </c>
      <c r="G67" s="56"/>
      <c r="H67" s="57">
        <f>DAY(IF(DAY(FebSøn1)=1,FebSøn1-3,FebSøn1+4))</f>
        <v>1</v>
      </c>
      <c r="I67" s="56"/>
      <c r="J67" s="57">
        <f>DAY(IF(DAY(FebSøn1)=1,FebSøn1-2,FebSøn1+5))</f>
        <v>2</v>
      </c>
      <c r="K67" s="56"/>
      <c r="L67" s="57">
        <f>DAY(IF(DAY(FebSøn1)=1,FebSøn1-1,FebSøn1+6))</f>
        <v>3</v>
      </c>
      <c r="M67" s="56"/>
      <c r="N67" s="58">
        <f>DAY(IF(DAY(FebSøn1)=1,FebSøn1,FebSøn1+7))</f>
        <v>4</v>
      </c>
      <c r="O67" s="59"/>
      <c r="P67" s="60"/>
    </row>
    <row r="68" spans="2:16" x14ac:dyDescent="0.25">
      <c r="B68" s="61" t="s">
        <v>42</v>
      </c>
      <c r="C68" s="62" t="s">
        <v>43</v>
      </c>
      <c r="D68" s="63" t="s">
        <v>42</v>
      </c>
      <c r="E68" s="62" t="s">
        <v>43</v>
      </c>
      <c r="F68" s="63" t="s">
        <v>42</v>
      </c>
      <c r="G68" s="62" t="s">
        <v>43</v>
      </c>
      <c r="H68" s="63" t="s">
        <v>42</v>
      </c>
      <c r="I68" s="62" t="s">
        <v>43</v>
      </c>
      <c r="J68" s="63" t="s">
        <v>42</v>
      </c>
      <c r="K68" s="62" t="s">
        <v>43</v>
      </c>
      <c r="L68" s="63" t="s">
        <v>42</v>
      </c>
      <c r="M68" s="62" t="s">
        <v>43</v>
      </c>
      <c r="N68" s="64" t="s">
        <v>42</v>
      </c>
      <c r="O68" s="65" t="s">
        <v>43</v>
      </c>
      <c r="P68" s="66"/>
    </row>
    <row r="69" spans="2:16" x14ac:dyDescent="0.25">
      <c r="B69" s="136"/>
      <c r="C69" s="67"/>
      <c r="D69" s="136" t="str">
        <f>IF(Tilmeldingsoversigt!$D$7="x",Morgenmad," ")</f>
        <v>Morgenmad</v>
      </c>
      <c r="E69" s="67">
        <f ca="1">IF(D69=Morgenmad,Tilmeldingsoversigt!$C$15," ")</f>
        <v>16.754098360655739</v>
      </c>
      <c r="F69" s="136" t="str">
        <f>IF(Tilmeldingsoversigt!$E$7="x",Morgenmad," ")</f>
        <v>Morgenmad</v>
      </c>
      <c r="G69" s="67">
        <f ca="1">IF(F69=Morgenmad,Tilmeldingsoversigt!$C$15," ")</f>
        <v>16.754098360655739</v>
      </c>
      <c r="H69" s="136" t="str">
        <f>IF(Tilmeldingsoversigt!$F$7="x",Morgenmad," ")</f>
        <v>Morgenmad</v>
      </c>
      <c r="I69" s="67">
        <f ca="1">IF(H69=Morgenmad,Tilmeldingsoversigt!$C$15," ")</f>
        <v>16.754098360655739</v>
      </c>
      <c r="J69" s="136" t="str">
        <f>IF(Tilmeldingsoversigt!$G$7="x",Morgenmad," ")</f>
        <v>Morgenmad</v>
      </c>
      <c r="K69" s="67">
        <f ca="1">IF(J69=Morgenmad,Tilmeldingsoversigt!$C$15," ")</f>
        <v>16.754098360655739</v>
      </c>
      <c r="L69" s="136" t="str">
        <f>IF(Tilmeldingsoversigt!$H$7="x",Morgenmad," ")</f>
        <v>Morgenmad</v>
      </c>
      <c r="M69" s="67">
        <f ca="1">IF(L69=Morgenmad,Tilmeldingsoversigt!$C$15," ")</f>
        <v>16.754098360655739</v>
      </c>
      <c r="N69" s="136" t="str">
        <f>IF(Tilmeldingsoversigt!$I$7="x",Morgenmad," ")</f>
        <v>Morgenmad</v>
      </c>
      <c r="O69" s="83">
        <f ca="1">IF(N69=Morgenmad,Tilmeldingsoversigt!$C$15," ")</f>
        <v>16.754098360655739</v>
      </c>
      <c r="P69" s="66"/>
    </row>
    <row r="70" spans="2:16" x14ac:dyDescent="0.25">
      <c r="B70" s="68"/>
      <c r="C70" s="69"/>
      <c r="D70" s="68" t="str">
        <f>IF(Tilmeldingsoversigt!$D$8="x",hovedret," ")</f>
        <v>Hovedret</v>
      </c>
      <c r="E70" s="69">
        <f ca="1">IF(D70=hovedret,Tilmeldingsoversigt!$C$16," ")</f>
        <v>55.016393442622949</v>
      </c>
      <c r="F70" s="68" t="str">
        <f>IF(Tilmeldingsoversigt!$E$8="x",hovedret," ")</f>
        <v>Hovedret</v>
      </c>
      <c r="G70" s="69">
        <f ca="1">IF(F70=hovedret,Tilmeldingsoversigt!$C$16," ")</f>
        <v>55.016393442622949</v>
      </c>
      <c r="H70" s="68" t="str">
        <f>IF(Tilmeldingsoversigt!$F$8="x",hovedret," ")</f>
        <v>Hovedret</v>
      </c>
      <c r="I70" s="69">
        <f ca="1">IF(H70=hovedret,Tilmeldingsoversigt!$C$16," ")</f>
        <v>55.016393442622949</v>
      </c>
      <c r="J70" s="68" t="str">
        <f>IF(Tilmeldingsoversigt!$G$8="x",hovedret," ")</f>
        <v>Hovedret</v>
      </c>
      <c r="K70" s="69">
        <f ca="1">IF(J70=hovedret,Tilmeldingsoversigt!$C$16," ")</f>
        <v>55.016393442622949</v>
      </c>
      <c r="L70" s="68" t="str">
        <f>IF(Tilmeldingsoversigt!$H$8="x",hovedret," ")</f>
        <v>Hovedret</v>
      </c>
      <c r="M70" s="69">
        <f ca="1">IF(L70=hovedret,Tilmeldingsoversigt!$C$16," ")</f>
        <v>55.016393442622949</v>
      </c>
      <c r="N70" s="68" t="str">
        <f>IF(Tilmeldingsoversigt!$I$8="x",hovedret," ")</f>
        <v>Hovedret</v>
      </c>
      <c r="O70" s="70">
        <f ca="1">IF(N70=hovedret,Tilmeldingsoversigt!$C$16," ")</f>
        <v>55.016393442622949</v>
      </c>
      <c r="P70" s="66"/>
    </row>
    <row r="71" spans="2:16" x14ac:dyDescent="0.25">
      <c r="B71" s="68"/>
      <c r="C71" s="69"/>
      <c r="D71" s="68" t="str">
        <f>IF(Tilmeldingsoversigt!$D$9="x",Aftensmad," ")</f>
        <v>Aftensmad</v>
      </c>
      <c r="E71" s="69">
        <f ca="1">IF(D71=Aftensmad,Tilmeldingsoversigt!$C$17," ")</f>
        <v>27.540983606557376</v>
      </c>
      <c r="F71" s="68" t="str">
        <f>IF(Tilmeldingsoversigt!$E$9="x",Aftensmad," ")</f>
        <v>Aftensmad</v>
      </c>
      <c r="G71" s="69">
        <f ca="1">IF(F71=Aftensmad,Tilmeldingsoversigt!$C$17," ")</f>
        <v>27.540983606557376</v>
      </c>
      <c r="H71" s="68" t="str">
        <f>IF(Tilmeldingsoversigt!$F$9="x",Aftensmad," ")</f>
        <v>Aftensmad</v>
      </c>
      <c r="I71" s="69">
        <f ca="1">IF(H71=Aftensmad,Tilmeldingsoversigt!$C$17," ")</f>
        <v>27.540983606557376</v>
      </c>
      <c r="J71" s="68" t="str">
        <f>IF(Tilmeldingsoversigt!$G$9="x",Aftensmad," ")</f>
        <v>Aftensmad</v>
      </c>
      <c r="K71" s="69">
        <f ca="1">IF(J71=Aftensmad,Tilmeldingsoversigt!$C$17," ")</f>
        <v>27.540983606557376</v>
      </c>
      <c r="L71" s="68" t="str">
        <f>IF(Tilmeldingsoversigt!$H$9="x",Aftensmad," ")</f>
        <v>Aftensmad</v>
      </c>
      <c r="M71" s="69">
        <f ca="1">IF(L71=Aftensmad,Tilmeldingsoversigt!$C$17," ")</f>
        <v>27.540983606557376</v>
      </c>
      <c r="N71" s="68" t="str">
        <f>IF(Tilmeldingsoversigt!$I$9="x",Aftensmad," ")</f>
        <v>Aftensmad</v>
      </c>
      <c r="O71" s="70">
        <f ca="1">IF(N71=Aftensmad,Tilmeldingsoversigt!$C$17," ")</f>
        <v>27.540983606557376</v>
      </c>
      <c r="P71" s="66"/>
    </row>
    <row r="72" spans="2:16" x14ac:dyDescent="0.25">
      <c r="B72" s="68"/>
      <c r="C72" s="69"/>
      <c r="D72" s="68" t="str">
        <f>IF(Tilmeldingsoversigt!$D$10="x",biret," ")</f>
        <v>Biret</v>
      </c>
      <c r="E72" s="69">
        <f>IF(D72=biret,biretpris," ")</f>
        <v>0</v>
      </c>
      <c r="F72" s="68" t="str">
        <f>IF(Tilmeldingsoversigt!$E$10="x",biret," ")</f>
        <v>Biret</v>
      </c>
      <c r="G72" s="69">
        <f>IF(F72=biret,biretpris," ")</f>
        <v>0</v>
      </c>
      <c r="H72" s="68" t="str">
        <f>IF(Tilmeldingsoversigt!$F$10="x",biret," ")</f>
        <v>Biret</v>
      </c>
      <c r="I72" s="69">
        <f>IF(H72=biret,biretpris," ")</f>
        <v>0</v>
      </c>
      <c r="J72" s="68" t="str">
        <f>IF(Tilmeldingsoversigt!$G$10="x",biret," ")</f>
        <v>Biret</v>
      </c>
      <c r="K72" s="69">
        <f>IF(J72=biret,biretpris," ")</f>
        <v>0</v>
      </c>
      <c r="L72" s="68" t="str">
        <f>IF(Tilmeldingsoversigt!$H$10="x",biret," ")</f>
        <v>Biret</v>
      </c>
      <c r="M72" s="69">
        <f>IF(L72=biret,biretpris," ")</f>
        <v>0</v>
      </c>
      <c r="N72" s="68" t="str">
        <f>IF(Tilmeldingsoversigt!$I$10="x",biret," ")</f>
        <v>Biret</v>
      </c>
      <c r="O72" s="70">
        <f>IF(N72=biret,biretpris," ")</f>
        <v>0</v>
      </c>
      <c r="P72" s="66"/>
    </row>
    <row r="73" spans="2:16" x14ac:dyDescent="0.25">
      <c r="B73" s="71"/>
      <c r="C73" s="72"/>
      <c r="D73" s="71" t="str">
        <f>IF(Tilmeldingsoversigt!$C$11="x",mellemmåltid," ")</f>
        <v xml:space="preserve"> </v>
      </c>
      <c r="E73" s="72" t="str">
        <f>IF(D73=mellemmåltid,mellemmåltidspris," ")</f>
        <v xml:space="preserve"> </v>
      </c>
      <c r="F73" s="71" t="str">
        <f>IF(Tilmeldingsoversigt!$C$11="x",mellemmåltid," ")</f>
        <v xml:space="preserve"> </v>
      </c>
      <c r="G73" s="72" t="str">
        <f>IF(F73=mellemmåltid,mellemmåltidspris," ")</f>
        <v xml:space="preserve"> </v>
      </c>
      <c r="H73" s="71" t="str">
        <f>IF(Tilmeldingsoversigt!$C$11="x",mellemmåltid," ")</f>
        <v xml:space="preserve"> </v>
      </c>
      <c r="I73" s="72" t="str">
        <f>IF(H73=mellemmåltid,mellemmåltidspris," ")</f>
        <v xml:space="preserve"> </v>
      </c>
      <c r="J73" s="71" t="str">
        <f>IF(Tilmeldingsoversigt!$C$11="x",mellemmåltid," ")</f>
        <v xml:space="preserve"> </v>
      </c>
      <c r="K73" s="72" t="str">
        <f>IF(J73=mellemmåltid,mellemmåltidspris," ")</f>
        <v xml:space="preserve"> </v>
      </c>
      <c r="L73" s="71" t="str">
        <f>IF(Tilmeldingsoversigt!$C$11="x",mellemmåltid," ")</f>
        <v xml:space="preserve"> </v>
      </c>
      <c r="M73" s="72" t="str">
        <f>IF(L73=mellemmåltid,mellemmåltidspris," ")</f>
        <v xml:space="preserve"> </v>
      </c>
      <c r="N73" s="71" t="str">
        <f>IF(Tilmeldingsoversigt!$C$11="x",mellemmåltid," ")</f>
        <v xml:space="preserve"> </v>
      </c>
      <c r="O73" s="73" t="str">
        <f>IF(N73=mellemmåltid,mellemmåltidspris," ")</f>
        <v xml:space="preserve"> </v>
      </c>
      <c r="P73" s="66"/>
    </row>
    <row r="74" spans="2:16" x14ac:dyDescent="0.25">
      <c r="B74" s="74" t="s">
        <v>44</v>
      </c>
      <c r="C74" s="11">
        <f>SUM(C69:C73)</f>
        <v>0</v>
      </c>
      <c r="D74" s="74"/>
      <c r="E74" s="11">
        <f ca="1">SUM(E69:E73)</f>
        <v>99.311475409836063</v>
      </c>
      <c r="F74" s="74"/>
      <c r="G74" s="11">
        <f ca="1">SUM(G69:G73)</f>
        <v>99.311475409836063</v>
      </c>
      <c r="H74" s="74"/>
      <c r="I74" s="11">
        <f ca="1">SUM(I69:I73)</f>
        <v>99.311475409836063</v>
      </c>
      <c r="J74" s="74"/>
      <c r="K74" s="11">
        <f ca="1">SUM(K69:K73)</f>
        <v>99.311475409836063</v>
      </c>
      <c r="L74" s="74"/>
      <c r="M74" s="11">
        <f ca="1">SUM(M69:M73)</f>
        <v>99.311475409836063</v>
      </c>
      <c r="N74" s="74"/>
      <c r="O74" s="12">
        <f ca="1">SUM(O69:O73)</f>
        <v>99.311475409836063</v>
      </c>
      <c r="P74" s="75">
        <f ca="1">SUMIF(B67:N67,"&lt;8",C74:O74)</f>
        <v>397.24590163934425</v>
      </c>
    </row>
    <row r="75" spans="2:16" x14ac:dyDescent="0.2">
      <c r="B75" s="76"/>
      <c r="C75" s="77"/>
      <c r="D75" s="77"/>
      <c r="E75" s="77"/>
      <c r="F75" s="77"/>
      <c r="G75" s="77"/>
      <c r="H75" s="77"/>
      <c r="I75" s="77"/>
      <c r="J75" s="77"/>
      <c r="K75" s="77"/>
      <c r="L75" s="77"/>
      <c r="M75" s="77"/>
      <c r="N75" s="77"/>
      <c r="O75" s="77"/>
      <c r="P75" s="76"/>
    </row>
    <row r="76" spans="2:16" ht="12.75" x14ac:dyDescent="0.25">
      <c r="B76" s="78">
        <f>N67+1</f>
        <v>5</v>
      </c>
      <c r="C76" s="79"/>
      <c r="D76" s="78">
        <f>B76+1</f>
        <v>6</v>
      </c>
      <c r="E76" s="79"/>
      <c r="F76" s="78">
        <f>D76+1</f>
        <v>7</v>
      </c>
      <c r="G76" s="79"/>
      <c r="H76" s="78">
        <f>F76+1</f>
        <v>8</v>
      </c>
      <c r="I76" s="79"/>
      <c r="J76" s="78">
        <f>H76+1</f>
        <v>9</v>
      </c>
      <c r="K76" s="79"/>
      <c r="L76" s="78">
        <f>J76+1</f>
        <v>10</v>
      </c>
      <c r="M76" s="79"/>
      <c r="N76" s="78">
        <f>L76+1</f>
        <v>11</v>
      </c>
      <c r="O76" s="79"/>
      <c r="P76" s="80"/>
    </row>
    <row r="77" spans="2:16" x14ac:dyDescent="0.25">
      <c r="B77" s="64" t="s">
        <v>42</v>
      </c>
      <c r="C77" s="81" t="s">
        <v>43</v>
      </c>
      <c r="D77" s="64" t="s">
        <v>42</v>
      </c>
      <c r="E77" s="81" t="s">
        <v>43</v>
      </c>
      <c r="F77" s="64" t="s">
        <v>42</v>
      </c>
      <c r="G77" s="81" t="s">
        <v>43</v>
      </c>
      <c r="H77" s="64" t="s">
        <v>42</v>
      </c>
      <c r="I77" s="81" t="s">
        <v>43</v>
      </c>
      <c r="J77" s="64" t="s">
        <v>42</v>
      </c>
      <c r="K77" s="81" t="s">
        <v>43</v>
      </c>
      <c r="L77" s="64" t="s">
        <v>42</v>
      </c>
      <c r="M77" s="81" t="s">
        <v>43</v>
      </c>
      <c r="N77" s="64" t="s">
        <v>42</v>
      </c>
      <c r="O77" s="82" t="s">
        <v>43</v>
      </c>
      <c r="P77" s="66"/>
    </row>
    <row r="78" spans="2:16" x14ac:dyDescent="0.25">
      <c r="B78" s="136" t="str">
        <f>IF(Tilmeldingsoversigt!$C$7="x",Morgenmad," ")</f>
        <v>Morgenmad</v>
      </c>
      <c r="C78" s="67">
        <f ca="1">IF(B78=Morgenmad,Tilmeldingsoversigt!$C$15," ")</f>
        <v>16.754098360655739</v>
      </c>
      <c r="D78" s="136" t="str">
        <f>IF(Tilmeldingsoversigt!$D$7="x",Morgenmad," ")</f>
        <v>Morgenmad</v>
      </c>
      <c r="E78" s="67">
        <f ca="1">IF(D78=Morgenmad,Tilmeldingsoversigt!$C$15," ")</f>
        <v>16.754098360655739</v>
      </c>
      <c r="F78" s="136" t="str">
        <f>IF(Tilmeldingsoversigt!$E$7="x",Morgenmad," ")</f>
        <v>Morgenmad</v>
      </c>
      <c r="G78" s="67">
        <f ca="1">IF(F78=Morgenmad,Tilmeldingsoversigt!$C$15," ")</f>
        <v>16.754098360655739</v>
      </c>
      <c r="H78" s="136" t="str">
        <f>IF(Tilmeldingsoversigt!$F$7="x",Morgenmad," ")</f>
        <v>Morgenmad</v>
      </c>
      <c r="I78" s="67">
        <f ca="1">IF(H78=Morgenmad,Tilmeldingsoversigt!$C$15," ")</f>
        <v>16.754098360655739</v>
      </c>
      <c r="J78" s="136" t="str">
        <f>IF(Tilmeldingsoversigt!$G$7="x",Morgenmad," ")</f>
        <v>Morgenmad</v>
      </c>
      <c r="K78" s="67">
        <f ca="1">IF(J78=Morgenmad,Tilmeldingsoversigt!$C$15," ")</f>
        <v>16.754098360655739</v>
      </c>
      <c r="L78" s="136" t="str">
        <f>IF(Tilmeldingsoversigt!$H$7="x",Morgenmad," ")</f>
        <v>Morgenmad</v>
      </c>
      <c r="M78" s="67">
        <f ca="1">IF(L78=Morgenmad,Tilmeldingsoversigt!$C$15," ")</f>
        <v>16.754098360655739</v>
      </c>
      <c r="N78" s="136" t="str">
        <f>IF(Tilmeldingsoversigt!$I$7="x",Morgenmad," ")</f>
        <v>Morgenmad</v>
      </c>
      <c r="O78" s="83">
        <f ca="1">IF(N78=Morgenmad,Tilmeldingsoversigt!$C$15," ")</f>
        <v>16.754098360655739</v>
      </c>
      <c r="P78" s="66"/>
    </row>
    <row r="79" spans="2:16" x14ac:dyDescent="0.25">
      <c r="B79" s="68" t="str">
        <f>IF(Tilmeldingsoversigt!$C$8="x",hovedret," ")</f>
        <v>Hovedret</v>
      </c>
      <c r="C79" s="69">
        <f ca="1">IF(B79=hovedret,Tilmeldingsoversigt!$C$16," ")</f>
        <v>55.016393442622949</v>
      </c>
      <c r="D79" s="68" t="str">
        <f>IF(Tilmeldingsoversigt!$D$8="x",hovedret," ")</f>
        <v>Hovedret</v>
      </c>
      <c r="E79" s="69">
        <f ca="1">IF(D79=hovedret,Tilmeldingsoversigt!$C$16," ")</f>
        <v>55.016393442622949</v>
      </c>
      <c r="F79" s="68" t="str">
        <f>IF(Tilmeldingsoversigt!$E$8="x",hovedret," ")</f>
        <v>Hovedret</v>
      </c>
      <c r="G79" s="69">
        <f ca="1">IF(F79=hovedret,Tilmeldingsoversigt!$C$16," ")</f>
        <v>55.016393442622949</v>
      </c>
      <c r="H79" s="68" t="str">
        <f>IF(Tilmeldingsoversigt!$F$8="x",hovedret," ")</f>
        <v>Hovedret</v>
      </c>
      <c r="I79" s="69">
        <f ca="1">IF(H79=hovedret,Tilmeldingsoversigt!$C$16," ")</f>
        <v>55.016393442622949</v>
      </c>
      <c r="J79" s="68" t="str">
        <f>IF(Tilmeldingsoversigt!$G$8="x",hovedret," ")</f>
        <v>Hovedret</v>
      </c>
      <c r="K79" s="69">
        <f ca="1">IF(J79=hovedret,Tilmeldingsoversigt!$C$16," ")</f>
        <v>55.016393442622949</v>
      </c>
      <c r="L79" s="68" t="str">
        <f>IF(Tilmeldingsoversigt!$H$8="x",hovedret," ")</f>
        <v>Hovedret</v>
      </c>
      <c r="M79" s="69">
        <f ca="1">IF(L79=hovedret,Tilmeldingsoversigt!$C$16," ")</f>
        <v>55.016393442622949</v>
      </c>
      <c r="N79" s="68" t="str">
        <f>IF(Tilmeldingsoversigt!$I$8="x",hovedret," ")</f>
        <v>Hovedret</v>
      </c>
      <c r="O79" s="70">
        <f ca="1">IF(N79=hovedret,Tilmeldingsoversigt!$C$16," ")</f>
        <v>55.016393442622949</v>
      </c>
      <c r="P79" s="66"/>
    </row>
    <row r="80" spans="2:16" x14ac:dyDescent="0.25">
      <c r="B80" s="68" t="str">
        <f>IF(Tilmeldingsoversigt!$C$9="x",Aftensmad," ")</f>
        <v>Aftensmad</v>
      </c>
      <c r="C80" s="69">
        <f ca="1">IF(B80=Aftensmad,Tilmeldingsoversigt!$C$17," ")</f>
        <v>27.540983606557376</v>
      </c>
      <c r="D80" s="68" t="str">
        <f>IF(Tilmeldingsoversigt!$D$9="x",Aftensmad," ")</f>
        <v>Aftensmad</v>
      </c>
      <c r="E80" s="69">
        <f ca="1">IF(D80=Aftensmad,Tilmeldingsoversigt!$C$17," ")</f>
        <v>27.540983606557376</v>
      </c>
      <c r="F80" s="68" t="str">
        <f>IF(Tilmeldingsoversigt!$E$9="x",Aftensmad," ")</f>
        <v>Aftensmad</v>
      </c>
      <c r="G80" s="69">
        <f ca="1">IF(F80=Aftensmad,Tilmeldingsoversigt!$C$17," ")</f>
        <v>27.540983606557376</v>
      </c>
      <c r="H80" s="68" t="str">
        <f>IF(Tilmeldingsoversigt!$F$9="x",Aftensmad," ")</f>
        <v>Aftensmad</v>
      </c>
      <c r="I80" s="69">
        <f ca="1">IF(H80=Aftensmad,Tilmeldingsoversigt!$C$17," ")</f>
        <v>27.540983606557376</v>
      </c>
      <c r="J80" s="68" t="str">
        <f>IF(Tilmeldingsoversigt!$G$9="x",Aftensmad," ")</f>
        <v>Aftensmad</v>
      </c>
      <c r="K80" s="69">
        <f ca="1">IF(J80=Aftensmad,Tilmeldingsoversigt!$C$17," ")</f>
        <v>27.540983606557376</v>
      </c>
      <c r="L80" s="68" t="str">
        <f>IF(Tilmeldingsoversigt!$H$9="x",Aftensmad," ")</f>
        <v>Aftensmad</v>
      </c>
      <c r="M80" s="69">
        <f ca="1">IF(L80=Aftensmad,Tilmeldingsoversigt!$C$17," ")</f>
        <v>27.540983606557376</v>
      </c>
      <c r="N80" s="68" t="str">
        <f>IF(Tilmeldingsoversigt!$I$9="x",Aftensmad," ")</f>
        <v>Aftensmad</v>
      </c>
      <c r="O80" s="70">
        <f ca="1">IF(N80=Aftensmad,Tilmeldingsoversigt!$C$17," ")</f>
        <v>27.540983606557376</v>
      </c>
      <c r="P80" s="66"/>
    </row>
    <row r="81" spans="2:16" x14ac:dyDescent="0.25">
      <c r="B81" s="68" t="str">
        <f>IF(Tilmeldingsoversigt!$C$10="x",biret," ")</f>
        <v>Biret</v>
      </c>
      <c r="C81" s="69">
        <f>IF(B81=biret,biretpris," ")</f>
        <v>0</v>
      </c>
      <c r="D81" s="68" t="str">
        <f>IF(Tilmeldingsoversigt!$D$10="x",biret," ")</f>
        <v>Biret</v>
      </c>
      <c r="E81" s="69">
        <f>IF(D81=biret,biretpris," ")</f>
        <v>0</v>
      </c>
      <c r="F81" s="68" t="str">
        <f>IF(Tilmeldingsoversigt!$E$10="x",biret," ")</f>
        <v>Biret</v>
      </c>
      <c r="G81" s="69">
        <f>IF(F81=biret,biretpris," ")</f>
        <v>0</v>
      </c>
      <c r="H81" s="68" t="str">
        <f>IF(Tilmeldingsoversigt!$F$10="x",biret," ")</f>
        <v>Biret</v>
      </c>
      <c r="I81" s="69">
        <f>IF(H81=biret,biretpris," ")</f>
        <v>0</v>
      </c>
      <c r="J81" s="68" t="str">
        <f>IF(Tilmeldingsoversigt!$G$10="x",biret," ")</f>
        <v>Biret</v>
      </c>
      <c r="K81" s="70">
        <f>IF(J81=biret,biretpris," ")</f>
        <v>0</v>
      </c>
      <c r="L81" s="68" t="str">
        <f>IF(Tilmeldingsoversigt!$H$10="x",biret," ")</f>
        <v>Biret</v>
      </c>
      <c r="M81" s="69">
        <f>IF(L81=biret,biretpris," ")</f>
        <v>0</v>
      </c>
      <c r="N81" s="68" t="str">
        <f>IF(Tilmeldingsoversigt!$I$10="x",biret," ")</f>
        <v>Biret</v>
      </c>
      <c r="O81" s="70">
        <f>IF(N81=biret,biretpris," ")</f>
        <v>0</v>
      </c>
      <c r="P81" s="66"/>
    </row>
    <row r="82" spans="2:16" x14ac:dyDescent="0.25">
      <c r="B82" s="71" t="str">
        <f>IF(Tilmeldingsoversigt!$C$11="x",mellemmåltid," ")</f>
        <v xml:space="preserve"> </v>
      </c>
      <c r="C82" s="69" t="str">
        <f>IF(B82=mellemmåltid,mellemmåltidspris," ")</f>
        <v xml:space="preserve"> </v>
      </c>
      <c r="D82" s="71" t="str">
        <f>IF(Tilmeldingsoversigt!$C$11="x",mellemmåltid," ")</f>
        <v xml:space="preserve"> </v>
      </c>
      <c r="E82" s="72" t="str">
        <f>IF(D82=mellemmåltid,mellemmåltidspris," ")</f>
        <v xml:space="preserve"> </v>
      </c>
      <c r="F82" s="71" t="str">
        <f>IF(Tilmeldingsoversigt!$C$11="x",mellemmåltid," ")</f>
        <v xml:space="preserve"> </v>
      </c>
      <c r="G82" s="72" t="str">
        <f>IF(F82=mellemmåltid,mellemmåltidspris," ")</f>
        <v xml:space="preserve"> </v>
      </c>
      <c r="H82" s="71" t="str">
        <f>IF(Tilmeldingsoversigt!$C$11="x",mellemmåltid," ")</f>
        <v xml:space="preserve"> </v>
      </c>
      <c r="I82" s="72" t="str">
        <f>IF(H82=mellemmåltid,mellemmåltidspris," ")</f>
        <v xml:space="preserve"> </v>
      </c>
      <c r="J82" s="71" t="str">
        <f>IF(Tilmeldingsoversigt!$C$11="x",mellemmåltid," ")</f>
        <v xml:space="preserve"> </v>
      </c>
      <c r="K82" s="73" t="str">
        <f>IF(J82=mellemmåltid,mellemmåltidspris," ")</f>
        <v xml:space="preserve"> </v>
      </c>
      <c r="L82" s="71" t="str">
        <f>IF(Tilmeldingsoversigt!$C$11="x",mellemmåltid," ")</f>
        <v xml:space="preserve"> </v>
      </c>
      <c r="M82" s="72" t="str">
        <f>IF(L82=mellemmåltid,mellemmåltidspris," ")</f>
        <v xml:space="preserve"> </v>
      </c>
      <c r="N82" s="71" t="str">
        <f>IF(Tilmeldingsoversigt!$C$11="x",mellemmåltid," ")</f>
        <v xml:space="preserve"> </v>
      </c>
      <c r="O82" s="73" t="str">
        <f>IF(N82=mellemmåltid,mellemmåltidspris," ")</f>
        <v xml:space="preserve"> </v>
      </c>
      <c r="P82" s="66"/>
    </row>
    <row r="83" spans="2:16" x14ac:dyDescent="0.25">
      <c r="B83" s="74" t="s">
        <v>44</v>
      </c>
      <c r="C83" s="11">
        <f ca="1">SUM(C78:C82)</f>
        <v>99.311475409836063</v>
      </c>
      <c r="D83" s="74"/>
      <c r="E83" s="11">
        <f ca="1">SUM(E78:E82)</f>
        <v>99.311475409836063</v>
      </c>
      <c r="F83" s="74"/>
      <c r="G83" s="11">
        <f ca="1">SUM(G78:G82)</f>
        <v>99.311475409836063</v>
      </c>
      <c r="H83" s="74"/>
      <c r="I83" s="11">
        <f ca="1">SUM(I78:I82)</f>
        <v>99.311475409836063</v>
      </c>
      <c r="J83" s="74"/>
      <c r="K83" s="11">
        <f ca="1">SUM(K78:K82)</f>
        <v>99.311475409836063</v>
      </c>
      <c r="L83" s="74"/>
      <c r="M83" s="11">
        <f ca="1">SUM(M78:M82)</f>
        <v>99.311475409836063</v>
      </c>
      <c r="N83" s="74"/>
      <c r="O83" s="12">
        <f ca="1">SUM(O78:O82)</f>
        <v>99.311475409836063</v>
      </c>
      <c r="P83" s="75">
        <f ca="1">SUM(C83,E83,G83,I83,K83,M83,O83)</f>
        <v>695.18032786885237</v>
      </c>
    </row>
    <row r="84" spans="2:16" x14ac:dyDescent="0.2">
      <c r="B84" s="76"/>
      <c r="C84" s="77"/>
      <c r="D84" s="77"/>
      <c r="E84" s="77"/>
      <c r="F84" s="77"/>
      <c r="G84" s="77"/>
      <c r="H84" s="77"/>
      <c r="I84" s="77"/>
      <c r="J84" s="77"/>
      <c r="K84" s="77"/>
      <c r="L84" s="77"/>
      <c r="M84" s="77"/>
      <c r="N84" s="77"/>
      <c r="O84" s="77"/>
      <c r="P84" s="76"/>
    </row>
    <row r="85" spans="2:16" ht="12.75" x14ac:dyDescent="0.25">
      <c r="B85" s="78">
        <f>N76+1</f>
        <v>12</v>
      </c>
      <c r="C85" s="79"/>
      <c r="D85" s="78">
        <f>B85+1</f>
        <v>13</v>
      </c>
      <c r="E85" s="79"/>
      <c r="F85" s="78">
        <f>D85+1</f>
        <v>14</v>
      </c>
      <c r="G85" s="79"/>
      <c r="H85" s="78">
        <f>F85+1</f>
        <v>15</v>
      </c>
      <c r="I85" s="79"/>
      <c r="J85" s="78">
        <f>H85+1</f>
        <v>16</v>
      </c>
      <c r="K85" s="79"/>
      <c r="L85" s="78">
        <f>J85+1</f>
        <v>17</v>
      </c>
      <c r="M85" s="79"/>
      <c r="N85" s="78">
        <f>L85+1</f>
        <v>18</v>
      </c>
      <c r="O85" s="79"/>
      <c r="P85" s="80"/>
    </row>
    <row r="86" spans="2:16" x14ac:dyDescent="0.25">
      <c r="B86" s="64" t="s">
        <v>42</v>
      </c>
      <c r="C86" s="81" t="s">
        <v>43</v>
      </c>
      <c r="D86" s="64" t="s">
        <v>42</v>
      </c>
      <c r="E86" s="81" t="s">
        <v>43</v>
      </c>
      <c r="F86" s="64" t="s">
        <v>42</v>
      </c>
      <c r="G86" s="81" t="s">
        <v>43</v>
      </c>
      <c r="H86" s="64" t="s">
        <v>42</v>
      </c>
      <c r="I86" s="81" t="s">
        <v>43</v>
      </c>
      <c r="J86" s="64" t="s">
        <v>42</v>
      </c>
      <c r="K86" s="81" t="s">
        <v>43</v>
      </c>
      <c r="L86" s="64" t="s">
        <v>42</v>
      </c>
      <c r="M86" s="81" t="s">
        <v>43</v>
      </c>
      <c r="N86" s="64" t="s">
        <v>42</v>
      </c>
      <c r="O86" s="82" t="s">
        <v>43</v>
      </c>
      <c r="P86" s="66"/>
    </row>
    <row r="87" spans="2:16" x14ac:dyDescent="0.25">
      <c r="B87" s="136" t="str">
        <f>IF(Tilmeldingsoversigt!$C$7="x",Morgenmad," ")</f>
        <v>Morgenmad</v>
      </c>
      <c r="C87" s="67">
        <f ca="1">IF(B87=Morgenmad,Tilmeldingsoversigt!$C$15," ")</f>
        <v>16.754098360655739</v>
      </c>
      <c r="D87" s="136" t="str">
        <f>IF(Tilmeldingsoversigt!$D$7="x",Morgenmad," ")</f>
        <v>Morgenmad</v>
      </c>
      <c r="E87" s="67">
        <f ca="1">IF(D87=Morgenmad,Tilmeldingsoversigt!$C$15," ")</f>
        <v>16.754098360655739</v>
      </c>
      <c r="F87" s="136" t="str">
        <f>IF(Tilmeldingsoversigt!$E$7="x",Morgenmad," ")</f>
        <v>Morgenmad</v>
      </c>
      <c r="G87" s="67">
        <f ca="1">IF(F87=Morgenmad,Tilmeldingsoversigt!$C$15," ")</f>
        <v>16.754098360655739</v>
      </c>
      <c r="H87" s="136" t="str">
        <f>IF(Tilmeldingsoversigt!$F$7="x",Morgenmad," ")</f>
        <v>Morgenmad</v>
      </c>
      <c r="I87" s="67">
        <f ca="1">IF(H87=Morgenmad,Tilmeldingsoversigt!$C$15," ")</f>
        <v>16.754098360655739</v>
      </c>
      <c r="J87" s="136" t="str">
        <f>IF(Tilmeldingsoversigt!$G$7="x",Morgenmad," ")</f>
        <v>Morgenmad</v>
      </c>
      <c r="K87" s="67">
        <f ca="1">IF(J87=Morgenmad,Tilmeldingsoversigt!$C$15," ")</f>
        <v>16.754098360655739</v>
      </c>
      <c r="L87" s="136" t="str">
        <f>IF(Tilmeldingsoversigt!$H$7="x",Morgenmad," ")</f>
        <v>Morgenmad</v>
      </c>
      <c r="M87" s="67">
        <f ca="1">IF(L87=Morgenmad,Tilmeldingsoversigt!$C$15," ")</f>
        <v>16.754098360655739</v>
      </c>
      <c r="N87" s="136" t="str">
        <f>IF(Tilmeldingsoversigt!$I$7="x",Morgenmad," ")</f>
        <v>Morgenmad</v>
      </c>
      <c r="O87" s="83">
        <f ca="1">IF(N87=Morgenmad,Tilmeldingsoversigt!$C$15," ")</f>
        <v>16.754098360655739</v>
      </c>
      <c r="P87" s="66"/>
    </row>
    <row r="88" spans="2:16" x14ac:dyDescent="0.25">
      <c r="B88" s="68" t="str">
        <f>IF(Tilmeldingsoversigt!$C$8="x",hovedret," ")</f>
        <v>Hovedret</v>
      </c>
      <c r="C88" s="69">
        <f ca="1">IF(B88=hovedret,Tilmeldingsoversigt!$C$16," ")</f>
        <v>55.016393442622949</v>
      </c>
      <c r="D88" s="68" t="str">
        <f>IF(Tilmeldingsoversigt!$D$8="x",hovedret," ")</f>
        <v>Hovedret</v>
      </c>
      <c r="E88" s="69">
        <f ca="1">IF(D88=hovedret,Tilmeldingsoversigt!$C$16," ")</f>
        <v>55.016393442622949</v>
      </c>
      <c r="F88" s="68" t="str">
        <f>IF(Tilmeldingsoversigt!$E$8="x",hovedret," ")</f>
        <v>Hovedret</v>
      </c>
      <c r="G88" s="69">
        <f ca="1">IF(F88=hovedret,Tilmeldingsoversigt!$C$16," ")</f>
        <v>55.016393442622949</v>
      </c>
      <c r="H88" s="68" t="str">
        <f>IF(Tilmeldingsoversigt!$F$8="x",hovedret," ")</f>
        <v>Hovedret</v>
      </c>
      <c r="I88" s="69">
        <f ca="1">IF(H88=hovedret,Tilmeldingsoversigt!$C$16," ")</f>
        <v>55.016393442622949</v>
      </c>
      <c r="J88" s="68" t="str">
        <f>IF(Tilmeldingsoversigt!$G$8="x",hovedret," ")</f>
        <v>Hovedret</v>
      </c>
      <c r="K88" s="69">
        <f ca="1">IF(J88=hovedret,Tilmeldingsoversigt!$C$16," ")</f>
        <v>55.016393442622949</v>
      </c>
      <c r="L88" s="68" t="str">
        <f>IF(Tilmeldingsoversigt!$H$8="x",hovedret," ")</f>
        <v>Hovedret</v>
      </c>
      <c r="M88" s="69">
        <f ca="1">IF(L88=hovedret,Tilmeldingsoversigt!$C$16," ")</f>
        <v>55.016393442622949</v>
      </c>
      <c r="N88" s="68" t="str">
        <f>IF(Tilmeldingsoversigt!$I$8="x",hovedret," ")</f>
        <v>Hovedret</v>
      </c>
      <c r="O88" s="70">
        <f ca="1">IF(N88=hovedret,Tilmeldingsoversigt!$C$16," ")</f>
        <v>55.016393442622949</v>
      </c>
      <c r="P88" s="66"/>
    </row>
    <row r="89" spans="2:16" x14ac:dyDescent="0.25">
      <c r="B89" s="68" t="str">
        <f>IF(Tilmeldingsoversigt!$C$9="x",Aftensmad," ")</f>
        <v>Aftensmad</v>
      </c>
      <c r="C89" s="69">
        <f ca="1">IF(B89=Aftensmad,Tilmeldingsoversigt!$C$17," ")</f>
        <v>27.540983606557376</v>
      </c>
      <c r="D89" s="68" t="str">
        <f>IF(Tilmeldingsoversigt!$D$9="x",Aftensmad," ")</f>
        <v>Aftensmad</v>
      </c>
      <c r="E89" s="69">
        <f ca="1">IF(D89=Aftensmad,Tilmeldingsoversigt!$C$17," ")</f>
        <v>27.540983606557376</v>
      </c>
      <c r="F89" s="68" t="str">
        <f>IF(Tilmeldingsoversigt!$E$9="x",Aftensmad," ")</f>
        <v>Aftensmad</v>
      </c>
      <c r="G89" s="69">
        <f ca="1">IF(F89=Aftensmad,Tilmeldingsoversigt!$C$17," ")</f>
        <v>27.540983606557376</v>
      </c>
      <c r="H89" s="68" t="str">
        <f>IF(Tilmeldingsoversigt!$F$9="x",Aftensmad," ")</f>
        <v>Aftensmad</v>
      </c>
      <c r="I89" s="69">
        <f ca="1">IF(H89=Aftensmad,Tilmeldingsoversigt!$C$17," ")</f>
        <v>27.540983606557376</v>
      </c>
      <c r="J89" s="68" t="str">
        <f>IF(Tilmeldingsoversigt!$G$9="x",Aftensmad," ")</f>
        <v>Aftensmad</v>
      </c>
      <c r="K89" s="69">
        <f ca="1">IF(J89=Aftensmad,Tilmeldingsoversigt!$C$17," ")</f>
        <v>27.540983606557376</v>
      </c>
      <c r="L89" s="68" t="str">
        <f>IF(Tilmeldingsoversigt!$H$9="x",Aftensmad," ")</f>
        <v>Aftensmad</v>
      </c>
      <c r="M89" s="69">
        <f ca="1">IF(L89=Aftensmad,Tilmeldingsoversigt!$C$17," ")</f>
        <v>27.540983606557376</v>
      </c>
      <c r="N89" s="68" t="str">
        <f>IF(Tilmeldingsoversigt!$I$9="x",Aftensmad," ")</f>
        <v>Aftensmad</v>
      </c>
      <c r="O89" s="70">
        <f ca="1">IF(N89=Aftensmad,Tilmeldingsoversigt!$C$17," ")</f>
        <v>27.540983606557376</v>
      </c>
      <c r="P89" s="66"/>
    </row>
    <row r="90" spans="2:16" x14ac:dyDescent="0.25">
      <c r="B90" s="68" t="str">
        <f>IF(Tilmeldingsoversigt!$C$10="x",biret," ")</f>
        <v>Biret</v>
      </c>
      <c r="C90" s="69">
        <f>IF(B90=biret,biretpris," ")</f>
        <v>0</v>
      </c>
      <c r="D90" s="68" t="str">
        <f>IF(Tilmeldingsoversigt!$D$10="x",biret," ")</f>
        <v>Biret</v>
      </c>
      <c r="E90" s="69">
        <f>IF(D90=biret,biretpris," ")</f>
        <v>0</v>
      </c>
      <c r="F90" s="68" t="str">
        <f>IF(Tilmeldingsoversigt!$E$10="x",biret," ")</f>
        <v>Biret</v>
      </c>
      <c r="G90" s="69">
        <f>IF(F90=biret,biretpris," ")</f>
        <v>0</v>
      </c>
      <c r="H90" s="68" t="str">
        <f>IF(Tilmeldingsoversigt!$F$10="x",biret," ")</f>
        <v>Biret</v>
      </c>
      <c r="I90" s="69">
        <f>IF(H90=biret,biretpris," ")</f>
        <v>0</v>
      </c>
      <c r="J90" s="68" t="str">
        <f>IF(Tilmeldingsoversigt!$G$10="x",biret," ")</f>
        <v>Biret</v>
      </c>
      <c r="K90" s="70">
        <f>IF(J90=biret,biretpris," ")</f>
        <v>0</v>
      </c>
      <c r="L90" s="68" t="str">
        <f>IF(Tilmeldingsoversigt!$H$10="x",biret," ")</f>
        <v>Biret</v>
      </c>
      <c r="M90" s="69">
        <f>IF(L90=biret,biretpris," ")</f>
        <v>0</v>
      </c>
      <c r="N90" s="68" t="str">
        <f>IF(Tilmeldingsoversigt!$I$10="x",biret," ")</f>
        <v>Biret</v>
      </c>
      <c r="O90" s="70">
        <f>IF(N90=biret,biretpris," ")</f>
        <v>0</v>
      </c>
      <c r="P90" s="66"/>
    </row>
    <row r="91" spans="2:16" x14ac:dyDescent="0.25">
      <c r="B91" s="71" t="str">
        <f>IF(Tilmeldingsoversigt!$C$11="x",mellemmåltid," ")</f>
        <v xml:space="preserve"> </v>
      </c>
      <c r="C91" s="69" t="str">
        <f>IF(B91=mellemmåltid,mellemmåltidspris," ")</f>
        <v xml:space="preserve"> </v>
      </c>
      <c r="D91" s="71" t="str">
        <f>IF(Tilmeldingsoversigt!$C$11="x",mellemmåltid," ")</f>
        <v xml:space="preserve"> </v>
      </c>
      <c r="E91" s="72" t="str">
        <f>IF(D91=mellemmåltid,mellemmåltidspris," ")</f>
        <v xml:space="preserve"> </v>
      </c>
      <c r="F91" s="71" t="str">
        <f>IF(Tilmeldingsoversigt!$C$11="x",mellemmåltid," ")</f>
        <v xml:space="preserve"> </v>
      </c>
      <c r="G91" s="72" t="str">
        <f>IF(F91=mellemmåltid,mellemmåltidspris," ")</f>
        <v xml:space="preserve"> </v>
      </c>
      <c r="H91" s="71" t="str">
        <f>IF(Tilmeldingsoversigt!$C$11="x",mellemmåltid," ")</f>
        <v xml:space="preserve"> </v>
      </c>
      <c r="I91" s="72" t="str">
        <f>IF(H91=mellemmåltid,mellemmåltidspris," ")</f>
        <v xml:space="preserve"> </v>
      </c>
      <c r="J91" s="71" t="str">
        <f>IF(Tilmeldingsoversigt!$C$11="x",mellemmåltid," ")</f>
        <v xml:space="preserve"> </v>
      </c>
      <c r="K91" s="73" t="str">
        <f>IF(J91=mellemmåltid,mellemmåltidspris," ")</f>
        <v xml:space="preserve"> </v>
      </c>
      <c r="L91" s="71" t="str">
        <f>IF(Tilmeldingsoversigt!$C$11="x",mellemmåltid," ")</f>
        <v xml:space="preserve"> </v>
      </c>
      <c r="M91" s="72" t="str">
        <f>IF(L91=mellemmåltid,mellemmåltidspris," ")</f>
        <v xml:space="preserve"> </v>
      </c>
      <c r="N91" s="71" t="str">
        <f>IF(Tilmeldingsoversigt!$C$11="x",mellemmåltid," ")</f>
        <v xml:space="preserve"> </v>
      </c>
      <c r="O91" s="73" t="str">
        <f>IF(N91=mellemmåltid,mellemmåltidspris," ")</f>
        <v xml:space="preserve"> </v>
      </c>
      <c r="P91" s="66"/>
    </row>
    <row r="92" spans="2:16" x14ac:dyDescent="0.25">
      <c r="B92" s="84" t="s">
        <v>44</v>
      </c>
      <c r="C92" s="11">
        <f ca="1">SUM(C87:C91)</f>
        <v>99.311475409836063</v>
      </c>
      <c r="D92" s="74"/>
      <c r="E92" s="11">
        <f ca="1">SUM(E87:E91)</f>
        <v>99.311475409836063</v>
      </c>
      <c r="F92" s="74"/>
      <c r="G92" s="11">
        <f ca="1">SUM(G87:G91)</f>
        <v>99.311475409836063</v>
      </c>
      <c r="H92" s="74"/>
      <c r="I92" s="11">
        <f ca="1">SUM(I87:I91)</f>
        <v>99.311475409836063</v>
      </c>
      <c r="J92" s="74"/>
      <c r="K92" s="11">
        <f ca="1">SUM(K87:K91)</f>
        <v>99.311475409836063</v>
      </c>
      <c r="L92" s="74"/>
      <c r="M92" s="11">
        <f ca="1">SUM(M87:M91)</f>
        <v>99.311475409836063</v>
      </c>
      <c r="N92" s="74"/>
      <c r="O92" s="12">
        <f ca="1">SUM(O87:O91)</f>
        <v>99.311475409836063</v>
      </c>
      <c r="P92" s="75">
        <f ca="1">SUM(C92,E92,G92,I92,K92,M92,O92)</f>
        <v>695.18032786885237</v>
      </c>
    </row>
    <row r="93" spans="2:16" x14ac:dyDescent="0.2">
      <c r="B93" s="76"/>
      <c r="C93" s="77"/>
      <c r="D93" s="77"/>
      <c r="E93" s="77"/>
      <c r="F93" s="77"/>
      <c r="G93" s="77"/>
      <c r="H93" s="77"/>
      <c r="I93" s="77"/>
      <c r="J93" s="77"/>
      <c r="K93" s="77"/>
      <c r="L93" s="77"/>
      <c r="M93" s="77"/>
      <c r="N93" s="77"/>
      <c r="O93" s="77"/>
      <c r="P93" s="76"/>
    </row>
    <row r="94" spans="2:16" ht="12.75" x14ac:dyDescent="0.25">
      <c r="B94" s="78">
        <f>N85+1</f>
        <v>19</v>
      </c>
      <c r="C94" s="79"/>
      <c r="D94" s="78">
        <f>B94+1</f>
        <v>20</v>
      </c>
      <c r="E94" s="79"/>
      <c r="F94" s="78">
        <f>D94+1</f>
        <v>21</v>
      </c>
      <c r="G94" s="79"/>
      <c r="H94" s="78">
        <f>F94+1</f>
        <v>22</v>
      </c>
      <c r="I94" s="79"/>
      <c r="J94" s="78">
        <f>H94+1</f>
        <v>23</v>
      </c>
      <c r="K94" s="79"/>
      <c r="L94" s="78">
        <f>J94+1</f>
        <v>24</v>
      </c>
      <c r="M94" s="79"/>
      <c r="N94" s="78">
        <f>L94+1</f>
        <v>25</v>
      </c>
      <c r="O94" s="79"/>
      <c r="P94" s="80"/>
    </row>
    <row r="95" spans="2:16" x14ac:dyDescent="0.25">
      <c r="B95" s="64" t="s">
        <v>42</v>
      </c>
      <c r="C95" s="81" t="s">
        <v>43</v>
      </c>
      <c r="D95" s="64" t="s">
        <v>42</v>
      </c>
      <c r="E95" s="81" t="s">
        <v>43</v>
      </c>
      <c r="F95" s="64" t="s">
        <v>42</v>
      </c>
      <c r="G95" s="81" t="s">
        <v>43</v>
      </c>
      <c r="H95" s="64" t="s">
        <v>42</v>
      </c>
      <c r="I95" s="81" t="s">
        <v>43</v>
      </c>
      <c r="J95" s="64" t="s">
        <v>42</v>
      </c>
      <c r="K95" s="81" t="s">
        <v>43</v>
      </c>
      <c r="L95" s="64" t="s">
        <v>42</v>
      </c>
      <c r="M95" s="81" t="s">
        <v>43</v>
      </c>
      <c r="N95" s="64" t="s">
        <v>42</v>
      </c>
      <c r="O95" s="82" t="s">
        <v>43</v>
      </c>
      <c r="P95" s="66"/>
    </row>
    <row r="96" spans="2:16" x14ac:dyDescent="0.25">
      <c r="B96" s="136" t="str">
        <f>IF(Tilmeldingsoversigt!$C$7="x",Morgenmad," ")</f>
        <v>Morgenmad</v>
      </c>
      <c r="C96" s="67">
        <f ca="1">IF(B96=Morgenmad,Tilmeldingsoversigt!$C$15," ")</f>
        <v>16.754098360655739</v>
      </c>
      <c r="D96" s="136" t="str">
        <f>IF(Tilmeldingsoversigt!$D$7="x",Morgenmad," ")</f>
        <v>Morgenmad</v>
      </c>
      <c r="E96" s="67">
        <f ca="1">IF(D96=Morgenmad,Tilmeldingsoversigt!$C$15," ")</f>
        <v>16.754098360655739</v>
      </c>
      <c r="F96" s="136" t="str">
        <f>IF(Tilmeldingsoversigt!$E$7="x",Morgenmad," ")</f>
        <v>Morgenmad</v>
      </c>
      <c r="G96" s="67">
        <f ca="1">IF(F96=Morgenmad,Tilmeldingsoversigt!$C$15," ")</f>
        <v>16.754098360655739</v>
      </c>
      <c r="H96" s="136" t="str">
        <f>IF(Tilmeldingsoversigt!$F$7="x",Morgenmad," ")</f>
        <v>Morgenmad</v>
      </c>
      <c r="I96" s="67">
        <f ca="1">IF(H96=Morgenmad,Tilmeldingsoversigt!$C$15," ")</f>
        <v>16.754098360655739</v>
      </c>
      <c r="J96" s="136" t="str">
        <f>IF(Tilmeldingsoversigt!$G$7="x",Morgenmad," ")</f>
        <v>Morgenmad</v>
      </c>
      <c r="K96" s="67">
        <f ca="1">IF(J96=Morgenmad,Tilmeldingsoversigt!$C$15," ")</f>
        <v>16.754098360655739</v>
      </c>
      <c r="L96" s="136" t="str">
        <f>IF(Tilmeldingsoversigt!$H$7="x",Morgenmad," ")</f>
        <v>Morgenmad</v>
      </c>
      <c r="M96" s="67">
        <f ca="1">IF(L96=Morgenmad,Tilmeldingsoversigt!$C$15," ")</f>
        <v>16.754098360655739</v>
      </c>
      <c r="N96" s="136" t="str">
        <f>IF(Tilmeldingsoversigt!$I$7="x",Morgenmad," ")</f>
        <v>Morgenmad</v>
      </c>
      <c r="O96" s="83">
        <f ca="1">IF(N96=Morgenmad,Tilmeldingsoversigt!$C$15," ")</f>
        <v>16.754098360655739</v>
      </c>
      <c r="P96" s="66"/>
    </row>
    <row r="97" spans="2:16" x14ac:dyDescent="0.25">
      <c r="B97" s="68" t="str">
        <f>IF(Tilmeldingsoversigt!$C$8="x",hovedret," ")</f>
        <v>Hovedret</v>
      </c>
      <c r="C97" s="69">
        <f ca="1">IF(B97=hovedret,Tilmeldingsoversigt!$C$16," ")</f>
        <v>55.016393442622949</v>
      </c>
      <c r="D97" s="68" t="str">
        <f>IF(Tilmeldingsoversigt!$D$8="x",hovedret," ")</f>
        <v>Hovedret</v>
      </c>
      <c r="E97" s="69">
        <f ca="1">IF(D97=hovedret,Tilmeldingsoversigt!$C$16," ")</f>
        <v>55.016393442622949</v>
      </c>
      <c r="F97" s="68" t="str">
        <f>IF(Tilmeldingsoversigt!$E$8="x",hovedret," ")</f>
        <v>Hovedret</v>
      </c>
      <c r="G97" s="69">
        <f ca="1">IF(F97=hovedret,Tilmeldingsoversigt!$C$16," ")</f>
        <v>55.016393442622949</v>
      </c>
      <c r="H97" s="68" t="str">
        <f>IF(Tilmeldingsoversigt!$F$8="x",hovedret," ")</f>
        <v>Hovedret</v>
      </c>
      <c r="I97" s="69">
        <f ca="1">IF(H97=hovedret,Tilmeldingsoversigt!$C$16," ")</f>
        <v>55.016393442622949</v>
      </c>
      <c r="J97" s="68" t="str">
        <f>IF(Tilmeldingsoversigt!$G$8="x",hovedret," ")</f>
        <v>Hovedret</v>
      </c>
      <c r="K97" s="69">
        <f ca="1">IF(J97=hovedret,Tilmeldingsoversigt!$C$16," ")</f>
        <v>55.016393442622949</v>
      </c>
      <c r="L97" s="68" t="str">
        <f>IF(Tilmeldingsoversigt!$H$8="x",hovedret," ")</f>
        <v>Hovedret</v>
      </c>
      <c r="M97" s="69">
        <f ca="1">IF(L97=hovedret,Tilmeldingsoversigt!$C$16," ")</f>
        <v>55.016393442622949</v>
      </c>
      <c r="N97" s="68" t="str">
        <f>IF(Tilmeldingsoversigt!$I$8="x",hovedret," ")</f>
        <v>Hovedret</v>
      </c>
      <c r="O97" s="70">
        <f ca="1">IF(N97=hovedret,Tilmeldingsoversigt!$C$16," ")</f>
        <v>55.016393442622949</v>
      </c>
      <c r="P97" s="66"/>
    </row>
    <row r="98" spans="2:16" x14ac:dyDescent="0.25">
      <c r="B98" s="68" t="str">
        <f>IF(Tilmeldingsoversigt!$C$9="x",Aftensmad," ")</f>
        <v>Aftensmad</v>
      </c>
      <c r="C98" s="69">
        <f ca="1">IF(B98=Aftensmad,Tilmeldingsoversigt!$C$17," ")</f>
        <v>27.540983606557376</v>
      </c>
      <c r="D98" s="68" t="str">
        <f>IF(Tilmeldingsoversigt!$D$9="x",Aftensmad," ")</f>
        <v>Aftensmad</v>
      </c>
      <c r="E98" s="69">
        <f ca="1">IF(D98=Aftensmad,Tilmeldingsoversigt!$C$17," ")</f>
        <v>27.540983606557376</v>
      </c>
      <c r="F98" s="68" t="str">
        <f>IF(Tilmeldingsoversigt!$E$9="x",Aftensmad," ")</f>
        <v>Aftensmad</v>
      </c>
      <c r="G98" s="69">
        <f ca="1">IF(F98=Aftensmad,Tilmeldingsoversigt!$C$17," ")</f>
        <v>27.540983606557376</v>
      </c>
      <c r="H98" s="68" t="str">
        <f>IF(Tilmeldingsoversigt!$F$9="x",Aftensmad," ")</f>
        <v>Aftensmad</v>
      </c>
      <c r="I98" s="69">
        <f ca="1">IF(H98=Aftensmad,Tilmeldingsoversigt!$C$17," ")</f>
        <v>27.540983606557376</v>
      </c>
      <c r="J98" s="68" t="str">
        <f>IF(Tilmeldingsoversigt!$G$9="x",Aftensmad," ")</f>
        <v>Aftensmad</v>
      </c>
      <c r="K98" s="69">
        <f ca="1">IF(J98=Aftensmad,Tilmeldingsoversigt!$C$17," ")</f>
        <v>27.540983606557376</v>
      </c>
      <c r="L98" s="68" t="str">
        <f>IF(Tilmeldingsoversigt!$H$9="x",Aftensmad," ")</f>
        <v>Aftensmad</v>
      </c>
      <c r="M98" s="69">
        <f ca="1">IF(L98=Aftensmad,Tilmeldingsoversigt!$C$17," ")</f>
        <v>27.540983606557376</v>
      </c>
      <c r="N98" s="68" t="str">
        <f>IF(Tilmeldingsoversigt!$I$9="x",Aftensmad," ")</f>
        <v>Aftensmad</v>
      </c>
      <c r="O98" s="70">
        <f ca="1">IF(N98=Aftensmad,Tilmeldingsoversigt!$C$17," ")</f>
        <v>27.540983606557376</v>
      </c>
      <c r="P98" s="66"/>
    </row>
    <row r="99" spans="2:16" x14ac:dyDescent="0.25">
      <c r="B99" s="68" t="str">
        <f>IF(Tilmeldingsoversigt!$C$10="x",biret," ")</f>
        <v>Biret</v>
      </c>
      <c r="C99" s="69">
        <f>IF(B99=biret,biretpris," ")</f>
        <v>0</v>
      </c>
      <c r="D99" s="68" t="str">
        <f>IF(Tilmeldingsoversigt!$D$10="x",biret," ")</f>
        <v>Biret</v>
      </c>
      <c r="E99" s="69">
        <f>IF(D99=biret,biretpris," ")</f>
        <v>0</v>
      </c>
      <c r="F99" s="68" t="str">
        <f>IF(Tilmeldingsoversigt!$E$10="x",biret," ")</f>
        <v>Biret</v>
      </c>
      <c r="G99" s="69">
        <f>IF(F99=biret,biretpris," ")</f>
        <v>0</v>
      </c>
      <c r="H99" s="68" t="str">
        <f>IF(Tilmeldingsoversigt!$F$10="x",biret," ")</f>
        <v>Biret</v>
      </c>
      <c r="I99" s="69">
        <f>IF(H99=biret,biretpris," ")</f>
        <v>0</v>
      </c>
      <c r="J99" s="68" t="str">
        <f>IF(Tilmeldingsoversigt!$G$10="x",biret," ")</f>
        <v>Biret</v>
      </c>
      <c r="K99" s="70">
        <f>IF(J99=biret,biretpris," ")</f>
        <v>0</v>
      </c>
      <c r="L99" s="68" t="str">
        <f>IF(Tilmeldingsoversigt!$H$10="x",biret," ")</f>
        <v>Biret</v>
      </c>
      <c r="M99" s="69">
        <f>IF(L99=biret,biretpris," ")</f>
        <v>0</v>
      </c>
      <c r="N99" s="68" t="str">
        <f>IF(Tilmeldingsoversigt!$I$10="x",biret," ")</f>
        <v>Biret</v>
      </c>
      <c r="O99" s="70">
        <f>IF(N99=biret,biretpris," ")</f>
        <v>0</v>
      </c>
      <c r="P99" s="66"/>
    </row>
    <row r="100" spans="2:16" x14ac:dyDescent="0.25">
      <c r="B100" s="71" t="str">
        <f>IF(Tilmeldingsoversigt!$C$11="x",mellemmåltid," ")</f>
        <v xml:space="preserve"> </v>
      </c>
      <c r="C100" s="69" t="str">
        <f>IF(B100=mellemmåltid,mellemmåltidspris," ")</f>
        <v xml:space="preserve"> </v>
      </c>
      <c r="D100" s="71" t="str">
        <f>IF(Tilmeldingsoversigt!$C$11="x",mellemmåltid," ")</f>
        <v xml:space="preserve"> </v>
      </c>
      <c r="E100" s="72" t="str">
        <f>IF(D100=mellemmåltid,mellemmåltidspris," ")</f>
        <v xml:space="preserve"> </v>
      </c>
      <c r="F100" s="71" t="str">
        <f>IF(Tilmeldingsoversigt!$C$11="x",mellemmåltid," ")</f>
        <v xml:space="preserve"> </v>
      </c>
      <c r="G100" s="72" t="str">
        <f>IF(F100=mellemmåltid,mellemmåltidspris," ")</f>
        <v xml:space="preserve"> </v>
      </c>
      <c r="H100" s="71" t="str">
        <f>IF(Tilmeldingsoversigt!$C$11="x",mellemmåltid," ")</f>
        <v xml:space="preserve"> </v>
      </c>
      <c r="I100" s="72" t="str">
        <f>IF(H100=mellemmåltid,mellemmåltidspris," ")</f>
        <v xml:space="preserve"> </v>
      </c>
      <c r="J100" s="71" t="str">
        <f>IF(Tilmeldingsoversigt!$C$11="x",mellemmåltid," ")</f>
        <v xml:space="preserve"> </v>
      </c>
      <c r="K100" s="73" t="str">
        <f>IF(J100=mellemmåltid,mellemmåltidspris," ")</f>
        <v xml:space="preserve"> </v>
      </c>
      <c r="L100" s="71" t="str">
        <f>IF(Tilmeldingsoversigt!$C$11="x",mellemmåltid," ")</f>
        <v xml:space="preserve"> </v>
      </c>
      <c r="M100" s="72" t="str">
        <f>IF(L100=mellemmåltid,mellemmåltidspris," ")</f>
        <v xml:space="preserve"> </v>
      </c>
      <c r="N100" s="71" t="str">
        <f>IF(Tilmeldingsoversigt!$C$11="x",mellemmåltid," ")</f>
        <v xml:space="preserve"> </v>
      </c>
      <c r="O100" s="73" t="str">
        <f>IF(N100=mellemmåltid,mellemmåltidspris," ")</f>
        <v xml:space="preserve"> </v>
      </c>
      <c r="P100" s="66"/>
    </row>
    <row r="101" spans="2:16" x14ac:dyDescent="0.25">
      <c r="B101" s="74" t="s">
        <v>44</v>
      </c>
      <c r="C101" s="11">
        <f ca="1">SUM(C96:C100)</f>
        <v>99.311475409836063</v>
      </c>
      <c r="D101" s="74"/>
      <c r="E101" s="11">
        <f ca="1">SUM(E96:E100)</f>
        <v>99.311475409836063</v>
      </c>
      <c r="F101" s="74"/>
      <c r="G101" s="11">
        <f ca="1">SUM(G96:G100)</f>
        <v>99.311475409836063</v>
      </c>
      <c r="H101" s="74"/>
      <c r="I101" s="11">
        <f ca="1">SUM(I96:I100)</f>
        <v>99.311475409836063</v>
      </c>
      <c r="J101" s="74"/>
      <c r="K101" s="11">
        <f ca="1">SUM(K96:K100)</f>
        <v>99.311475409836063</v>
      </c>
      <c r="L101" s="74"/>
      <c r="M101" s="11">
        <f ca="1">SUM(M96:M100)</f>
        <v>99.311475409836063</v>
      </c>
      <c r="N101" s="74"/>
      <c r="O101" s="12">
        <f ca="1">SUM(O96:O100)</f>
        <v>99.311475409836063</v>
      </c>
      <c r="P101" s="75">
        <f ca="1">SUM(C101,E101,G101,I101,K101,M101,O101)</f>
        <v>695.18032786885237</v>
      </c>
    </row>
    <row r="102" spans="2:16" x14ac:dyDescent="0.2">
      <c r="B102" s="76"/>
      <c r="C102" s="77"/>
      <c r="D102" s="77"/>
      <c r="E102" s="77"/>
      <c r="F102" s="77"/>
      <c r="G102" s="77"/>
      <c r="H102" s="77"/>
      <c r="I102" s="77"/>
      <c r="J102" s="77"/>
      <c r="K102" s="77"/>
      <c r="L102" s="77"/>
      <c r="M102" s="77"/>
      <c r="N102" s="77"/>
      <c r="O102" s="77"/>
      <c r="P102" s="76"/>
    </row>
    <row r="103" spans="2:16" ht="12.75" x14ac:dyDescent="0.25">
      <c r="B103" s="78">
        <f>DAY(IF(DAY(FebSøn1)=1,FebSøn1+22,FebSøn1+29))</f>
        <v>26</v>
      </c>
      <c r="C103" s="79"/>
      <c r="D103" s="78">
        <f>DAY(IF(DAY(FebSøn1)=1,FebSøn1+23,FebSøn1+30))</f>
        <v>27</v>
      </c>
      <c r="E103" s="79"/>
      <c r="F103" s="78">
        <f>DAY(IF(DAY(FebSøn1)=1,FebSøn1+24,FebSøn1+31))</f>
        <v>28</v>
      </c>
      <c r="G103" s="79"/>
      <c r="H103" s="78">
        <f>DAY(IF(DAY(FebSøn1)=1,FebSøn1+25,FebSøn1+32))</f>
        <v>29</v>
      </c>
      <c r="I103" s="79"/>
      <c r="J103" s="78">
        <f>DAY(IF(DAY(FebSøn1)=1,FebSøn1+26,FebSøn1+33))</f>
        <v>1</v>
      </c>
      <c r="K103" s="79"/>
      <c r="L103" s="78">
        <f>DAY(IF(DAY(FebSøn1)=1,FebSøn1+27,FebSøn1+34))</f>
        <v>2</v>
      </c>
      <c r="M103" s="79"/>
      <c r="N103" s="78">
        <f>DAY(IF(DAY(FebSøn1)=1,FebSøn1+28,FebSøn1+35))</f>
        <v>3</v>
      </c>
      <c r="O103" s="79"/>
      <c r="P103" s="85"/>
    </row>
    <row r="104" spans="2:16" x14ac:dyDescent="0.25">
      <c r="B104" s="64" t="s">
        <v>42</v>
      </c>
      <c r="C104" s="81" t="s">
        <v>43</v>
      </c>
      <c r="D104" s="64" t="s">
        <v>42</v>
      </c>
      <c r="E104" s="81" t="s">
        <v>43</v>
      </c>
      <c r="F104" s="64" t="s">
        <v>42</v>
      </c>
      <c r="G104" s="81" t="s">
        <v>43</v>
      </c>
      <c r="H104" s="64" t="s">
        <v>42</v>
      </c>
      <c r="I104" s="81" t="s">
        <v>43</v>
      </c>
      <c r="J104" s="64" t="s">
        <v>42</v>
      </c>
      <c r="K104" s="81" t="s">
        <v>43</v>
      </c>
      <c r="L104" s="64" t="s">
        <v>42</v>
      </c>
      <c r="M104" s="81" t="s">
        <v>43</v>
      </c>
      <c r="N104" s="64" t="s">
        <v>42</v>
      </c>
      <c r="O104" s="82" t="s">
        <v>43</v>
      </c>
      <c r="P104" s="66"/>
    </row>
    <row r="105" spans="2:16" x14ac:dyDescent="0.25">
      <c r="B105" s="136" t="str">
        <f>IF(Tilmeldingsoversigt!$C$7="x",Morgenmad," ")</f>
        <v>Morgenmad</v>
      </c>
      <c r="C105" s="67">
        <f ca="1">IF(B105=Morgenmad,Tilmeldingsoversigt!$C$15," ")</f>
        <v>16.754098360655739</v>
      </c>
      <c r="D105" s="136"/>
      <c r="E105" s="67"/>
      <c r="F105" s="136"/>
      <c r="G105" s="67"/>
      <c r="H105" s="136"/>
      <c r="I105" s="67"/>
      <c r="J105" s="136"/>
      <c r="K105" s="67"/>
      <c r="L105" s="136"/>
      <c r="M105" s="67"/>
      <c r="N105" s="139"/>
      <c r="O105" s="86"/>
      <c r="P105" s="66"/>
    </row>
    <row r="106" spans="2:16" x14ac:dyDescent="0.25">
      <c r="B106" s="68" t="str">
        <f>IF(Tilmeldingsoversigt!$C$8="x",hovedret," ")</f>
        <v>Hovedret</v>
      </c>
      <c r="C106" s="69">
        <f ca="1">IF(B106=hovedret,Tilmeldingsoversigt!$C$16," ")</f>
        <v>55.016393442622949</v>
      </c>
      <c r="D106" s="68"/>
      <c r="E106" s="69"/>
      <c r="F106" s="68"/>
      <c r="G106" s="69"/>
      <c r="H106" s="68"/>
      <c r="I106" s="69"/>
      <c r="J106" s="68"/>
      <c r="K106" s="69"/>
      <c r="L106" s="68"/>
      <c r="M106" s="69"/>
      <c r="N106" s="87"/>
      <c r="O106" s="88"/>
      <c r="P106" s="66"/>
    </row>
    <row r="107" spans="2:16" x14ac:dyDescent="0.25">
      <c r="B107" s="68" t="str">
        <f>IF(Tilmeldingsoversigt!$C$9="x",Aftensmad," ")</f>
        <v>Aftensmad</v>
      </c>
      <c r="C107" s="69">
        <f ca="1">IF(B107=Aftensmad,Tilmeldingsoversigt!$C$17," ")</f>
        <v>27.540983606557376</v>
      </c>
      <c r="D107" s="68"/>
      <c r="E107" s="69"/>
      <c r="F107" s="68"/>
      <c r="G107" s="69"/>
      <c r="H107" s="68"/>
      <c r="I107" s="69"/>
      <c r="J107" s="68"/>
      <c r="K107" s="69"/>
      <c r="L107" s="68"/>
      <c r="M107" s="69"/>
      <c r="N107" s="87"/>
      <c r="O107" s="88"/>
      <c r="P107" s="66"/>
    </row>
    <row r="108" spans="2:16" x14ac:dyDescent="0.25">
      <c r="B108" s="68" t="str">
        <f>IF(Tilmeldingsoversigt!$C$10="x",biret," ")</f>
        <v>Biret</v>
      </c>
      <c r="C108" s="69">
        <f>IF(B108=biret,biretpris," ")</f>
        <v>0</v>
      </c>
      <c r="D108" s="68"/>
      <c r="E108" s="69"/>
      <c r="F108" s="68"/>
      <c r="G108" s="69"/>
      <c r="H108" s="68"/>
      <c r="I108" s="69"/>
      <c r="J108" s="68"/>
      <c r="K108" s="70"/>
      <c r="L108" s="68"/>
      <c r="M108" s="69"/>
      <c r="N108" s="68"/>
      <c r="O108" s="70"/>
      <c r="P108" s="66"/>
    </row>
    <row r="109" spans="2:16" x14ac:dyDescent="0.25">
      <c r="B109" s="71" t="str">
        <f>IF(Tilmeldingsoversigt!$C$11="x",mellemmåltid," ")</f>
        <v xml:space="preserve"> </v>
      </c>
      <c r="C109" s="69" t="str">
        <f>IF(B109=mellemmåltid,mellemmåltidspris," ")</f>
        <v xml:space="preserve"> </v>
      </c>
      <c r="D109" s="71"/>
      <c r="E109" s="72"/>
      <c r="F109" s="71"/>
      <c r="G109" s="72"/>
      <c r="H109" s="71"/>
      <c r="I109" s="72"/>
      <c r="J109" s="71"/>
      <c r="K109" s="73"/>
      <c r="L109" s="71"/>
      <c r="M109" s="72"/>
      <c r="N109" s="71"/>
      <c r="O109" s="73"/>
      <c r="P109" s="66"/>
    </row>
    <row r="110" spans="2:16" x14ac:dyDescent="0.25">
      <c r="B110" s="74" t="s">
        <v>44</v>
      </c>
      <c r="C110" s="11">
        <f ca="1">SUM(C105:C109)</f>
        <v>99.311475409836063</v>
      </c>
      <c r="D110" s="74"/>
      <c r="E110" s="11">
        <f>SUM(E105:E109)</f>
        <v>0</v>
      </c>
      <c r="F110" s="74"/>
      <c r="G110" s="11">
        <f>SUM(G105:G109)</f>
        <v>0</v>
      </c>
      <c r="H110" s="74"/>
      <c r="I110" s="11">
        <f>SUM(I105:I109)</f>
        <v>0</v>
      </c>
      <c r="J110" s="74"/>
      <c r="K110" s="11">
        <f>SUM(K105:K109)</f>
        <v>0</v>
      </c>
      <c r="L110" s="74"/>
      <c r="M110" s="11">
        <f>SUM(M105:M109)</f>
        <v>0</v>
      </c>
      <c r="N110" s="74"/>
      <c r="O110" s="12">
        <f>SUM(O105:O109)</f>
        <v>0</v>
      </c>
      <c r="P110" s="75">
        <f ca="1">SUMIF(B103:N103,"&gt;="&amp;15,C110:O110)</f>
        <v>99.311475409836063</v>
      </c>
    </row>
    <row r="111" spans="2:16" x14ac:dyDescent="0.2">
      <c r="B111" s="76"/>
      <c r="C111" s="77"/>
      <c r="D111" s="77"/>
      <c r="E111" s="77"/>
      <c r="F111" s="77"/>
      <c r="G111" s="77"/>
      <c r="H111" s="77"/>
      <c r="I111" s="77"/>
      <c r="J111" s="77"/>
      <c r="K111" s="77"/>
      <c r="L111" s="77"/>
      <c r="M111" s="77"/>
      <c r="N111" s="77"/>
      <c r="O111" s="77"/>
      <c r="P111" s="76"/>
    </row>
    <row r="112" spans="2:16" ht="12.75" hidden="1" x14ac:dyDescent="0.25">
      <c r="B112" s="78">
        <f>DAY(IF(DAY(FebSøn1)=1,FebSøn1+29,FebSøn1+36))</f>
        <v>4</v>
      </c>
      <c r="C112" s="91"/>
      <c r="D112" s="78">
        <f>DAY(IF(DAY(FebSøn1)=1,FebSøn1+30,FebSøn1+37))</f>
        <v>5</v>
      </c>
      <c r="E112" s="79"/>
      <c r="F112" s="92">
        <f>DAY(IF(DAY(FebSøn1)=1,FebSøn1+31,FebSøn1+38))</f>
        <v>6</v>
      </c>
      <c r="G112" s="79"/>
      <c r="H112" s="78">
        <f>DAY(IF(DAY(FebSøn1)=1,FebSøn1+32,FebSøn1+39))</f>
        <v>7</v>
      </c>
      <c r="I112" s="79"/>
      <c r="J112" s="78">
        <f>DAY(IF(DAY(FebSøn1)=1,FebSøn1+33,FebSøn1+40))</f>
        <v>8</v>
      </c>
      <c r="K112" s="79"/>
      <c r="L112" s="78">
        <f>DAY(IF(DAY(FebSøn1)=1,FebSøn1+34,FebSøn1+41))</f>
        <v>9</v>
      </c>
      <c r="M112" s="79"/>
      <c r="N112" s="78">
        <f>DAY(IF(DAY(FebSøn1)=1,FebSøn1+35,FebSøn1+42))</f>
        <v>10</v>
      </c>
      <c r="O112" s="79"/>
      <c r="P112" s="85"/>
    </row>
    <row r="113" spans="2:16" hidden="1" x14ac:dyDescent="0.25">
      <c r="B113" s="64" t="s">
        <v>42</v>
      </c>
      <c r="C113" s="81" t="s">
        <v>43</v>
      </c>
      <c r="D113" s="64" t="s">
        <v>42</v>
      </c>
      <c r="E113" s="81" t="s">
        <v>43</v>
      </c>
      <c r="F113" s="64" t="s">
        <v>42</v>
      </c>
      <c r="G113" s="81" t="s">
        <v>43</v>
      </c>
      <c r="H113" s="64" t="s">
        <v>42</v>
      </c>
      <c r="I113" s="81" t="s">
        <v>43</v>
      </c>
      <c r="J113" s="64" t="s">
        <v>42</v>
      </c>
      <c r="K113" s="81" t="s">
        <v>43</v>
      </c>
      <c r="L113" s="64" t="s">
        <v>42</v>
      </c>
      <c r="M113" s="81" t="s">
        <v>43</v>
      </c>
      <c r="N113" s="64" t="s">
        <v>42</v>
      </c>
      <c r="O113" s="82" t="s">
        <v>43</v>
      </c>
      <c r="P113" s="66"/>
    </row>
    <row r="114" spans="2:16" hidden="1" x14ac:dyDescent="0.25">
      <c r="B114" s="136"/>
      <c r="C114" s="67"/>
      <c r="D114" s="136"/>
      <c r="E114" s="67"/>
      <c r="F114" s="136"/>
      <c r="G114" s="67"/>
      <c r="H114" s="136"/>
      <c r="I114" s="67"/>
      <c r="J114" s="136"/>
      <c r="K114" s="67"/>
      <c r="L114" s="136"/>
      <c r="M114" s="67"/>
      <c r="N114" s="136"/>
      <c r="O114" s="83" t="str">
        <f>IF(N114=Morgenmad,Tilmeldingsoversigt!$C$15," ")</f>
        <v xml:space="preserve"> </v>
      </c>
      <c r="P114" s="66"/>
    </row>
    <row r="115" spans="2:16" hidden="1" x14ac:dyDescent="0.25">
      <c r="B115" s="68"/>
      <c r="C115" s="69"/>
      <c r="D115" s="68"/>
      <c r="E115" s="69"/>
      <c r="F115" s="68"/>
      <c r="G115" s="69"/>
      <c r="H115" s="68"/>
      <c r="I115" s="69"/>
      <c r="J115" s="68"/>
      <c r="K115" s="69"/>
      <c r="L115" s="68"/>
      <c r="M115" s="69"/>
      <c r="N115" s="68"/>
      <c r="O115" s="70" t="str">
        <f>IF(N115=hovedret,Tilmeldingsoversigt!$C$16," ")</f>
        <v xml:space="preserve"> </v>
      </c>
      <c r="P115" s="66"/>
    </row>
    <row r="116" spans="2:16" hidden="1" x14ac:dyDescent="0.25">
      <c r="B116" s="68"/>
      <c r="C116" s="69"/>
      <c r="D116" s="68"/>
      <c r="E116" s="69"/>
      <c r="F116" s="68"/>
      <c r="G116" s="69"/>
      <c r="H116" s="68"/>
      <c r="I116" s="69"/>
      <c r="J116" s="68"/>
      <c r="K116" s="69"/>
      <c r="L116" s="68"/>
      <c r="M116" s="69"/>
      <c r="N116" s="68"/>
      <c r="O116" s="70" t="str">
        <f>IF(N116=Aftensmad,Tilmeldingsoversigt!$C$17," ")</f>
        <v xml:space="preserve"> </v>
      </c>
      <c r="P116" s="66"/>
    </row>
    <row r="117" spans="2:16" hidden="1" x14ac:dyDescent="0.25">
      <c r="B117" s="68"/>
      <c r="C117" s="69"/>
      <c r="D117" s="68"/>
      <c r="E117" s="69"/>
      <c r="F117" s="68"/>
      <c r="G117" s="69"/>
      <c r="H117" s="68"/>
      <c r="I117" s="69"/>
      <c r="J117" s="68"/>
      <c r="K117" s="69"/>
      <c r="L117" s="68"/>
      <c r="M117" s="69"/>
      <c r="N117" s="68"/>
      <c r="O117" s="70"/>
      <c r="P117" s="66"/>
    </row>
    <row r="118" spans="2:16" hidden="1" x14ac:dyDescent="0.25">
      <c r="B118" s="71"/>
      <c r="C118" s="72"/>
      <c r="D118" s="71"/>
      <c r="E118" s="72"/>
      <c r="F118" s="71"/>
      <c r="G118" s="72"/>
      <c r="H118" s="71"/>
      <c r="I118" s="72"/>
      <c r="J118" s="71"/>
      <c r="K118" s="72"/>
      <c r="L118" s="71"/>
      <c r="M118" s="72"/>
      <c r="N118" s="71"/>
      <c r="O118" s="73"/>
      <c r="P118" s="66"/>
    </row>
    <row r="119" spans="2:16" hidden="1" x14ac:dyDescent="0.25">
      <c r="B119" s="74" t="s">
        <v>44</v>
      </c>
      <c r="C119" s="11">
        <f>SUM(C114:C118)</f>
        <v>0</v>
      </c>
      <c r="D119" s="74"/>
      <c r="E119" s="11">
        <f>SUM(E114:E118)</f>
        <v>0</v>
      </c>
      <c r="F119" s="74"/>
      <c r="G119" s="11">
        <f>SUM(G114:G118)</f>
        <v>0</v>
      </c>
      <c r="H119" s="74"/>
      <c r="I119" s="11">
        <f>SUM(I114:I118)</f>
        <v>0</v>
      </c>
      <c r="J119" s="74"/>
      <c r="K119" s="11">
        <f>SUM(K114:K118)</f>
        <v>0</v>
      </c>
      <c r="L119" s="74"/>
      <c r="M119" s="11">
        <f>SUM(M114:M118)</f>
        <v>0</v>
      </c>
      <c r="N119" s="74"/>
      <c r="O119" s="12">
        <f>SUM(O114:O118)</f>
        <v>0</v>
      </c>
      <c r="P119" s="75">
        <f>SUMIF(B112:N112,"&gt;="&amp;15,C119:O119)</f>
        <v>0</v>
      </c>
    </row>
    <row r="120" spans="2:16" ht="17.25" customHeight="1" x14ac:dyDescent="0.2"/>
    <row r="121" spans="2:16" ht="12" x14ac:dyDescent="0.2">
      <c r="B121" s="246" t="s">
        <v>46</v>
      </c>
      <c r="C121" s="246"/>
      <c r="D121" s="246"/>
      <c r="E121" s="246"/>
      <c r="F121" s="49"/>
      <c r="G121" s="132">
        <f ca="1">Tilmeldingsoversigt!$E$15-(31-'Tilmeldte måltider'!G122)*Morgenpris</f>
        <v>511</v>
      </c>
      <c r="H121" s="49"/>
      <c r="I121" s="132">
        <f ca="1">Tilmeldingsoversigt!$E$16-(31-'Tilmeldte måltider'!I122)*Frokostpris</f>
        <v>1678</v>
      </c>
      <c r="J121" s="49"/>
      <c r="K121" s="132">
        <f ca="1">Tilmeldingsoversigt!$E$17-(31-'Tilmeldte måltider'!K122)*Aftenpris</f>
        <v>840</v>
      </c>
      <c r="L121" s="247" t="s">
        <v>32</v>
      </c>
      <c r="M121" s="247"/>
      <c r="N121" s="247" t="s">
        <v>33</v>
      </c>
      <c r="O121" s="247"/>
      <c r="P121" s="49"/>
    </row>
    <row r="122" spans="2:16" ht="25.5" customHeight="1" x14ac:dyDescent="0.25">
      <c r="B122" s="246"/>
      <c r="C122" s="246"/>
      <c r="D122" s="246"/>
      <c r="E122" s="246"/>
      <c r="F122" s="97" t="str">
        <f>Morgenmad</f>
        <v>Morgenmad</v>
      </c>
      <c r="G122" s="97">
        <f ca="1">IF(L123=FALSE,0,(COUNTIF($B$128:$O$177,Morgenmad)))</f>
        <v>31</v>
      </c>
      <c r="H122" s="97" t="str">
        <f>hovedret</f>
        <v>Hovedret</v>
      </c>
      <c r="I122" s="97">
        <f ca="1">IF(L123=FALSE,0,(COUNTIF(B128:O177,hovedret)))</f>
        <v>31</v>
      </c>
      <c r="J122" s="97" t="str">
        <f>Aftensmad</f>
        <v>Aftensmad</v>
      </c>
      <c r="K122" s="97">
        <f ca="1">IF(L123=FALSE,0,(COUNTIF(B128:O177,Aftensmad)))</f>
        <v>31</v>
      </c>
      <c r="L122" s="248">
        <f ca="1">IF(marts_sum=0,0,månedligtotal)</f>
        <v>3000</v>
      </c>
      <c r="M122" s="249"/>
      <c r="N122" s="248">
        <f ca="1">hovedtotal</f>
        <v>36000.409836065577</v>
      </c>
      <c r="O122" s="250"/>
      <c r="P122" s="49"/>
    </row>
    <row r="123" spans="2:16" ht="25.5" customHeight="1" x14ac:dyDescent="0.45">
      <c r="B123" s="121"/>
      <c r="C123" s="121"/>
      <c r="D123" s="121"/>
      <c r="E123" s="121"/>
      <c r="F123" s="98" t="str">
        <f>biret</f>
        <v>Biret</v>
      </c>
      <c r="G123" s="97">
        <f ca="1">IF(marts_sum=0,0,(COUNTIF($B$128:$O$177,biret)))</f>
        <v>31</v>
      </c>
      <c r="H123" s="98" t="str">
        <f>mellemmåltid</f>
        <v>Mellemmåltid</v>
      </c>
      <c r="I123" s="97">
        <f ca="1">IF(marts_sum=0,0,(COUNTIF($B$128:$O$178,mellemmåltid)))</f>
        <v>0</v>
      </c>
      <c r="J123" s="98"/>
      <c r="K123" s="98"/>
      <c r="L123" s="243" t="b">
        <f>IF(AND(L124,N124)=TRUE,TRUE,FALSE)</f>
        <v>1</v>
      </c>
      <c r="M123" s="244"/>
      <c r="N123" s="137">
        <f ca="1">SUM(G121+I121+K121)</f>
        <v>3029</v>
      </c>
      <c r="O123" s="137"/>
      <c r="P123" s="49"/>
    </row>
    <row r="124" spans="2:16" ht="25.5" hidden="1" customHeight="1" x14ac:dyDescent="0.45">
      <c r="B124" s="121"/>
      <c r="C124" s="121"/>
      <c r="D124" s="121"/>
      <c r="E124" s="121"/>
      <c r="F124" s="138"/>
      <c r="G124" s="138"/>
      <c r="H124" s="138"/>
      <c r="I124" s="138"/>
      <c r="J124" s="138"/>
      <c r="K124" s="138"/>
      <c r="L124" s="242" t="b">
        <f>IF(OR(VLOOKUP(start_måned,Dataark!$C$5:$D$16,2,FALSE)&lt;=3,til_februar=TRUE),TRUE,FALSE)</f>
        <v>1</v>
      </c>
      <c r="M124" s="242"/>
      <c r="N124" s="242" t="b">
        <f>IF(AND(VLOOKUP(slut_måned,Dataark!$C$5:$D$16,2,FALSE)&gt;=3,L124=TRUE),TRUE,FALSE)</f>
        <v>1</v>
      </c>
      <c r="O124" s="242"/>
      <c r="P124" s="49"/>
    </row>
    <row r="125" spans="2:16" ht="9" customHeight="1" x14ac:dyDescent="0.2">
      <c r="B125" s="251">
        <v>1</v>
      </c>
      <c r="C125" s="251"/>
      <c r="D125" s="251">
        <v>2</v>
      </c>
      <c r="E125" s="251"/>
      <c r="F125" s="251">
        <v>3</v>
      </c>
      <c r="G125" s="251"/>
      <c r="H125" s="251">
        <v>4</v>
      </c>
      <c r="I125" s="251"/>
      <c r="J125" s="251">
        <v>5</v>
      </c>
      <c r="K125" s="251"/>
      <c r="L125" s="251">
        <v>6</v>
      </c>
      <c r="M125" s="251"/>
      <c r="N125" s="251">
        <v>7</v>
      </c>
      <c r="O125" s="251"/>
      <c r="P125" s="135">
        <f ca="1">IF(L123=TRUE,(N123),0)</f>
        <v>3029</v>
      </c>
    </row>
    <row r="126" spans="2:16" ht="15" customHeight="1" x14ac:dyDescent="0.25">
      <c r="B126" s="252" t="s">
        <v>34</v>
      </c>
      <c r="C126" s="253"/>
      <c r="D126" s="254" t="s">
        <v>35</v>
      </c>
      <c r="E126" s="255" t="e">
        <f>IF(WEEKDAY(DATEVALUE(Month1&amp;" 1, "&amp;Year1))=COLUMN(#REF!),1,IF(LEN(C126)&gt;0,C126+1,""))</f>
        <v>#NAME?</v>
      </c>
      <c r="F126" s="253" t="s">
        <v>36</v>
      </c>
      <c r="G126" s="253" t="e">
        <f>IF(WEEKDAY(DATEVALUE(Month1&amp;" 1, "&amp;Year1))=COLUMN(#REF!),1,IF(LEN(E126)&gt;0,E126+1,""))</f>
        <v>#NAME?</v>
      </c>
      <c r="H126" s="254" t="s">
        <v>37</v>
      </c>
      <c r="I126" s="255" t="e">
        <f>IF(WEEKDAY(DATEVALUE(Month1&amp;" 1, "&amp;Year1))=COLUMN(#REF!),1,IF(LEN(G126)&gt;0,G126+1,""))</f>
        <v>#NAME?</v>
      </c>
      <c r="J126" s="256" t="s">
        <v>38</v>
      </c>
      <c r="K126" s="257" t="e">
        <f>IF(WEEKDAY(DATEVALUE(Month1&amp;" 1, "&amp;Year1))=COLUMN(#REF!),1,IF(LEN(I126)&gt;0,I126+1,""))</f>
        <v>#NAME?</v>
      </c>
      <c r="L126" s="258" t="s">
        <v>39</v>
      </c>
      <c r="M126" s="259" t="e">
        <f>IF(WEEKDAY(DATEVALUE(Month1&amp;" 1, "&amp;Year1))=COLUMN(#REF!),1,IF(LEN(K126)&gt;0,K126+1,""))</f>
        <v>#NAME?</v>
      </c>
      <c r="N126" s="258" t="s">
        <v>40</v>
      </c>
      <c r="O126" s="259" t="e">
        <f>IF(WEEKDAY(DATEVALUE(Month1&amp;" 1, "&amp;Year1))=COLUMN(#REF!),1,IF(LEN(M126)&gt;0,M126+1,""))</f>
        <v>#NAME?</v>
      </c>
      <c r="P126" s="53" t="s">
        <v>41</v>
      </c>
    </row>
    <row r="127" spans="2:16" ht="12.75" x14ac:dyDescent="0.25">
      <c r="B127" s="55">
        <f>DAY(IF(DAY(MarSøn1)=1,MarSøn1-6,MarSøn1+1))</f>
        <v>26</v>
      </c>
      <c r="C127" s="56"/>
      <c r="D127" s="57">
        <f>DAY(IF(DAY(MarSøn1)=1,MarSøn1-5,MarSøn1+2))</f>
        <v>27</v>
      </c>
      <c r="E127" s="56"/>
      <c r="F127" s="57">
        <f>DAY(IF(DAY(MarSøn1)=1,MarSøn1-4,MarSøn1+3))</f>
        <v>28</v>
      </c>
      <c r="G127" s="56"/>
      <c r="H127" s="57">
        <f>DAY(IF(DAY(MarSøn1)=1,MarSøn1-3,MarSøn1+4))</f>
        <v>29</v>
      </c>
      <c r="I127" s="56"/>
      <c r="J127" s="57">
        <f>DAY(IF(DAY(MarSøn1)=1,MarSøn1-2,MarSøn1+5))</f>
        <v>1</v>
      </c>
      <c r="K127" s="56"/>
      <c r="L127" s="57">
        <f>DAY(IF(DAY(MarSøn1)=1,MarSøn1-1,MarSøn1+6))</f>
        <v>2</v>
      </c>
      <c r="M127" s="56"/>
      <c r="N127" s="58">
        <f>DAY(IF(DAY(MarSøn1)=1,MarSøn1,MarSøn1+7))</f>
        <v>3</v>
      </c>
      <c r="O127" s="59"/>
      <c r="P127" s="60"/>
    </row>
    <row r="128" spans="2:16" x14ac:dyDescent="0.25">
      <c r="B128" s="61" t="s">
        <v>42</v>
      </c>
      <c r="C128" s="62" t="s">
        <v>43</v>
      </c>
      <c r="D128" s="63" t="s">
        <v>42</v>
      </c>
      <c r="E128" s="62" t="s">
        <v>43</v>
      </c>
      <c r="F128" s="63" t="s">
        <v>42</v>
      </c>
      <c r="G128" s="62" t="s">
        <v>43</v>
      </c>
      <c r="H128" s="63" t="s">
        <v>42</v>
      </c>
      <c r="I128" s="62" t="s">
        <v>43</v>
      </c>
      <c r="J128" s="63" t="s">
        <v>42</v>
      </c>
      <c r="K128" s="62" t="s">
        <v>43</v>
      </c>
      <c r="L128" s="63" t="s">
        <v>42</v>
      </c>
      <c r="M128" s="62" t="s">
        <v>43</v>
      </c>
      <c r="N128" s="64" t="s">
        <v>42</v>
      </c>
      <c r="O128" s="65" t="s">
        <v>43</v>
      </c>
      <c r="P128" s="66"/>
    </row>
    <row r="129" spans="2:16" x14ac:dyDescent="0.25">
      <c r="B129" s="136"/>
      <c r="C129" s="67"/>
      <c r="D129" s="136" t="str">
        <f>IF(Tilmeldingsoversigt!$D$7="x",Morgenmad," ")</f>
        <v>Morgenmad</v>
      </c>
      <c r="E129" s="67">
        <f ca="1">IF(D129=Morgenmad,Tilmeldingsoversigt!$C$15," ")</f>
        <v>16.754098360655739</v>
      </c>
      <c r="F129" s="136" t="str">
        <f>IF(Tilmeldingsoversigt!$E$7="x",Morgenmad," ")</f>
        <v>Morgenmad</v>
      </c>
      <c r="G129" s="67">
        <f ca="1">IF(F129=Morgenmad,Tilmeldingsoversigt!$C$15," ")</f>
        <v>16.754098360655739</v>
      </c>
      <c r="H129" s="136" t="str">
        <f>IF(Tilmeldingsoversigt!$F$7="x",Morgenmad," ")</f>
        <v>Morgenmad</v>
      </c>
      <c r="I129" s="67">
        <f ca="1">IF(H129=Morgenmad,Tilmeldingsoversigt!$C$15," ")</f>
        <v>16.754098360655739</v>
      </c>
      <c r="J129" s="136" t="str">
        <f>IF(Tilmeldingsoversigt!$G$7="x",Morgenmad," ")</f>
        <v>Morgenmad</v>
      </c>
      <c r="K129" s="67">
        <f ca="1">IF(J129=Morgenmad,Tilmeldingsoversigt!$C$15," ")</f>
        <v>16.754098360655739</v>
      </c>
      <c r="L129" s="136" t="str">
        <f>IF(Tilmeldingsoversigt!$H$7="x",Morgenmad," ")</f>
        <v>Morgenmad</v>
      </c>
      <c r="M129" s="67">
        <f ca="1">IF(L129=Morgenmad,Tilmeldingsoversigt!$C$15," ")</f>
        <v>16.754098360655739</v>
      </c>
      <c r="N129" s="136" t="str">
        <f>IF(Tilmeldingsoversigt!$I$7="x",Morgenmad," ")</f>
        <v>Morgenmad</v>
      </c>
      <c r="O129" s="83">
        <f ca="1">IF(N129=Morgenmad,Tilmeldingsoversigt!$C$15," ")</f>
        <v>16.754098360655739</v>
      </c>
      <c r="P129" s="66"/>
    </row>
    <row r="130" spans="2:16" x14ac:dyDescent="0.25">
      <c r="B130" s="68"/>
      <c r="C130" s="69"/>
      <c r="D130" s="68" t="str">
        <f>IF(Tilmeldingsoversigt!$D$8="x",hovedret," ")</f>
        <v>Hovedret</v>
      </c>
      <c r="E130" s="69">
        <f ca="1">IF(D130=hovedret,Tilmeldingsoversigt!$C$16," ")</f>
        <v>55.016393442622949</v>
      </c>
      <c r="F130" s="68" t="str">
        <f>IF(Tilmeldingsoversigt!$E$8="x",hovedret," ")</f>
        <v>Hovedret</v>
      </c>
      <c r="G130" s="69">
        <f ca="1">IF(F130=hovedret,Tilmeldingsoversigt!$C$16," ")</f>
        <v>55.016393442622949</v>
      </c>
      <c r="H130" s="68" t="str">
        <f>IF(Tilmeldingsoversigt!$F$8="x",hovedret," ")</f>
        <v>Hovedret</v>
      </c>
      <c r="I130" s="69">
        <f ca="1">IF(H130=hovedret,Tilmeldingsoversigt!$C$16," ")</f>
        <v>55.016393442622949</v>
      </c>
      <c r="J130" s="68" t="str">
        <f>IF(Tilmeldingsoversigt!$G$8="x",hovedret," ")</f>
        <v>Hovedret</v>
      </c>
      <c r="K130" s="69">
        <f ca="1">IF(J130=hovedret,Tilmeldingsoversigt!$C$16," ")</f>
        <v>55.016393442622949</v>
      </c>
      <c r="L130" s="68" t="str">
        <f>IF(Tilmeldingsoversigt!$H$8="x",hovedret," ")</f>
        <v>Hovedret</v>
      </c>
      <c r="M130" s="69">
        <f ca="1">IF(L130=hovedret,Tilmeldingsoversigt!$C$16," ")</f>
        <v>55.016393442622949</v>
      </c>
      <c r="N130" s="68" t="str">
        <f>IF(Tilmeldingsoversigt!$I$8="x",hovedret," ")</f>
        <v>Hovedret</v>
      </c>
      <c r="O130" s="70">
        <f ca="1">IF(N130=hovedret,Tilmeldingsoversigt!$C$16," ")</f>
        <v>55.016393442622949</v>
      </c>
      <c r="P130" s="66"/>
    </row>
    <row r="131" spans="2:16" x14ac:dyDescent="0.25">
      <c r="B131" s="68"/>
      <c r="C131" s="69"/>
      <c r="D131" s="68" t="str">
        <f>IF(Tilmeldingsoversigt!$D$9="x",Aftensmad," ")</f>
        <v>Aftensmad</v>
      </c>
      <c r="E131" s="69">
        <f ca="1">IF(D131=Aftensmad,Tilmeldingsoversigt!$C$17," ")</f>
        <v>27.540983606557376</v>
      </c>
      <c r="F131" s="68" t="str">
        <f>IF(Tilmeldingsoversigt!$E$9="x",Aftensmad," ")</f>
        <v>Aftensmad</v>
      </c>
      <c r="G131" s="69">
        <f ca="1">IF(F131=Aftensmad,Tilmeldingsoversigt!$C$17," ")</f>
        <v>27.540983606557376</v>
      </c>
      <c r="H131" s="68" t="str">
        <f>IF(Tilmeldingsoversigt!$F$9="x",Aftensmad," ")</f>
        <v>Aftensmad</v>
      </c>
      <c r="I131" s="69">
        <f ca="1">IF(H131=Aftensmad,Tilmeldingsoversigt!$C$17," ")</f>
        <v>27.540983606557376</v>
      </c>
      <c r="J131" s="68" t="str">
        <f>IF(Tilmeldingsoversigt!$G$9="x",Aftensmad," ")</f>
        <v>Aftensmad</v>
      </c>
      <c r="K131" s="69">
        <f ca="1">IF(J131=Aftensmad,Tilmeldingsoversigt!$C$17," ")</f>
        <v>27.540983606557376</v>
      </c>
      <c r="L131" s="68" t="str">
        <f>IF(Tilmeldingsoversigt!$H$9="x",Aftensmad," ")</f>
        <v>Aftensmad</v>
      </c>
      <c r="M131" s="69">
        <f ca="1">IF(L131=Aftensmad,Tilmeldingsoversigt!$C$17," ")</f>
        <v>27.540983606557376</v>
      </c>
      <c r="N131" s="68" t="str">
        <f>IF(Tilmeldingsoversigt!$I$9="x",Aftensmad," ")</f>
        <v>Aftensmad</v>
      </c>
      <c r="O131" s="70">
        <f ca="1">IF(N131=Aftensmad,Tilmeldingsoversigt!$C$17," ")</f>
        <v>27.540983606557376</v>
      </c>
      <c r="P131" s="66"/>
    </row>
    <row r="132" spans="2:16" x14ac:dyDescent="0.25">
      <c r="B132" s="68"/>
      <c r="C132" s="69"/>
      <c r="D132" s="68" t="str">
        <f>IF(Tilmeldingsoversigt!$D$10="x",biret," ")</f>
        <v>Biret</v>
      </c>
      <c r="E132" s="69">
        <f>IF(D132=biret,biretpris," ")</f>
        <v>0</v>
      </c>
      <c r="F132" s="68" t="str">
        <f>IF(Tilmeldingsoversigt!$E$10="x",biret," ")</f>
        <v>Biret</v>
      </c>
      <c r="G132" s="69">
        <f>IF(F132=biret,biretpris," ")</f>
        <v>0</v>
      </c>
      <c r="H132" s="68" t="str">
        <f>IF(Tilmeldingsoversigt!$F$10="x",biret," ")</f>
        <v>Biret</v>
      </c>
      <c r="I132" s="69">
        <f>IF(H132=biret,biretpris," ")</f>
        <v>0</v>
      </c>
      <c r="J132" s="68" t="str">
        <f>IF(Tilmeldingsoversigt!$G$10="x",biret," ")</f>
        <v>Biret</v>
      </c>
      <c r="K132" s="69">
        <f>IF(J132=biret,biretpris," ")</f>
        <v>0</v>
      </c>
      <c r="L132" s="68" t="str">
        <f>IF(Tilmeldingsoversigt!$H$10="x",biret," ")</f>
        <v>Biret</v>
      </c>
      <c r="M132" s="69">
        <f>IF(L132=biret,biretpris," ")</f>
        <v>0</v>
      </c>
      <c r="N132" s="68" t="str">
        <f>IF(Tilmeldingsoversigt!$I$10="x",biret," ")</f>
        <v>Biret</v>
      </c>
      <c r="O132" s="69">
        <f>IF(N132=biret,biretpris," ")</f>
        <v>0</v>
      </c>
      <c r="P132" s="66"/>
    </row>
    <row r="133" spans="2:16" x14ac:dyDescent="0.25">
      <c r="B133" s="71"/>
      <c r="C133" s="72"/>
      <c r="D133" s="71" t="str">
        <f>IF(Tilmeldingsoversigt!$C$11="x",mellemmåltid," ")</f>
        <v xml:space="preserve"> </v>
      </c>
      <c r="E133" s="72" t="str">
        <f>IF(D133=mellemmåltid,mellemmåltidspris," ")</f>
        <v xml:space="preserve"> </v>
      </c>
      <c r="F133" s="71" t="str">
        <f>IF(Tilmeldingsoversigt!$C$11="x",mellemmåltid," ")</f>
        <v xml:space="preserve"> </v>
      </c>
      <c r="G133" s="72" t="str">
        <f>IF(F133=mellemmåltid,mellemmåltidspris," ")</f>
        <v xml:space="preserve"> </v>
      </c>
      <c r="H133" s="71" t="str">
        <f>IF(Tilmeldingsoversigt!$C$11="x",mellemmåltid," ")</f>
        <v xml:space="preserve"> </v>
      </c>
      <c r="I133" s="72" t="str">
        <f>IF(H133=mellemmåltid,mellemmåltidspris," ")</f>
        <v xml:space="preserve"> </v>
      </c>
      <c r="J133" s="71" t="str">
        <f>IF(Tilmeldingsoversigt!$C$11="x",mellemmåltid," ")</f>
        <v xml:space="preserve"> </v>
      </c>
      <c r="K133" s="72" t="str">
        <f>IF(J133=mellemmåltid,mellemmåltidspris," ")</f>
        <v xml:space="preserve"> </v>
      </c>
      <c r="L133" s="71" t="str">
        <f>IF(Tilmeldingsoversigt!$C$11="x",mellemmåltid," ")</f>
        <v xml:space="preserve"> </v>
      </c>
      <c r="M133" s="72" t="str">
        <f>IF(L133=mellemmåltid,mellemmåltidspris," ")</f>
        <v xml:space="preserve"> </v>
      </c>
      <c r="N133" s="71" t="str">
        <f>IF(Tilmeldingsoversigt!$C$11="x",mellemmåltid," ")</f>
        <v xml:space="preserve"> </v>
      </c>
      <c r="O133" s="72" t="str">
        <f>IF(N133=mellemmåltid,mellemmåltidspris," ")</f>
        <v xml:space="preserve"> </v>
      </c>
      <c r="P133" s="66"/>
    </row>
    <row r="134" spans="2:16" x14ac:dyDescent="0.25">
      <c r="B134" s="74" t="s">
        <v>44</v>
      </c>
      <c r="C134" s="11">
        <f>SUM(C129:C133)</f>
        <v>0</v>
      </c>
      <c r="D134" s="74"/>
      <c r="E134" s="11">
        <f ca="1">SUM(E129:E133)</f>
        <v>99.311475409836063</v>
      </c>
      <c r="F134" s="74"/>
      <c r="G134" s="11">
        <f ca="1">SUM(G129:G133)</f>
        <v>99.311475409836063</v>
      </c>
      <c r="H134" s="74"/>
      <c r="I134" s="11">
        <f ca="1">SUM(I129:I133)</f>
        <v>99.311475409836063</v>
      </c>
      <c r="J134" s="74"/>
      <c r="K134" s="11">
        <f ca="1">SUM(K129:K133)</f>
        <v>99.311475409836063</v>
      </c>
      <c r="L134" s="74"/>
      <c r="M134" s="11">
        <f ca="1">SUM(M129:M133)</f>
        <v>99.311475409836063</v>
      </c>
      <c r="N134" s="74"/>
      <c r="O134" s="12">
        <f ca="1">SUM(O129:O133)</f>
        <v>99.311475409836063</v>
      </c>
      <c r="P134" s="75">
        <f ca="1">SUMIF(B127:N127,"&lt;8",C134:O134)</f>
        <v>297.93442622950818</v>
      </c>
    </row>
    <row r="135" spans="2:16" x14ac:dyDescent="0.2">
      <c r="B135" s="76"/>
      <c r="C135" s="77"/>
      <c r="D135" s="77"/>
      <c r="E135" s="77"/>
      <c r="F135" s="77"/>
      <c r="G135" s="77"/>
      <c r="H135" s="77"/>
      <c r="I135" s="77"/>
      <c r="J135" s="77"/>
      <c r="K135" s="77"/>
      <c r="L135" s="77"/>
      <c r="M135" s="77"/>
      <c r="N135" s="77"/>
      <c r="O135" s="77"/>
      <c r="P135" s="76"/>
    </row>
    <row r="136" spans="2:16" ht="12.75" x14ac:dyDescent="0.25">
      <c r="B136" s="78">
        <f>N127+1</f>
        <v>4</v>
      </c>
      <c r="C136" s="79"/>
      <c r="D136" s="78">
        <f>B136+1</f>
        <v>5</v>
      </c>
      <c r="E136" s="79"/>
      <c r="F136" s="78">
        <f>D136+1</f>
        <v>6</v>
      </c>
      <c r="G136" s="79"/>
      <c r="H136" s="78">
        <f>F136+1</f>
        <v>7</v>
      </c>
      <c r="I136" s="79"/>
      <c r="J136" s="78">
        <f>H136+1</f>
        <v>8</v>
      </c>
      <c r="K136" s="79"/>
      <c r="L136" s="78">
        <f>J136+1</f>
        <v>9</v>
      </c>
      <c r="M136" s="79"/>
      <c r="N136" s="78">
        <f>L136+1</f>
        <v>10</v>
      </c>
      <c r="O136" s="79"/>
      <c r="P136" s="80"/>
    </row>
    <row r="137" spans="2:16" x14ac:dyDescent="0.25">
      <c r="B137" s="64" t="s">
        <v>42</v>
      </c>
      <c r="C137" s="81" t="s">
        <v>43</v>
      </c>
      <c r="D137" s="64" t="s">
        <v>42</v>
      </c>
      <c r="E137" s="81" t="s">
        <v>43</v>
      </c>
      <c r="F137" s="64" t="s">
        <v>42</v>
      </c>
      <c r="G137" s="81" t="s">
        <v>43</v>
      </c>
      <c r="H137" s="64" t="s">
        <v>42</v>
      </c>
      <c r="I137" s="81" t="s">
        <v>43</v>
      </c>
      <c r="J137" s="64" t="s">
        <v>42</v>
      </c>
      <c r="K137" s="81" t="s">
        <v>43</v>
      </c>
      <c r="L137" s="64" t="s">
        <v>42</v>
      </c>
      <c r="M137" s="81" t="s">
        <v>43</v>
      </c>
      <c r="N137" s="64" t="s">
        <v>42</v>
      </c>
      <c r="O137" s="82" t="s">
        <v>43</v>
      </c>
      <c r="P137" s="66"/>
    </row>
    <row r="138" spans="2:16" x14ac:dyDescent="0.25">
      <c r="B138" s="136" t="str">
        <f>IF(Tilmeldingsoversigt!$C$7="x",Morgenmad," ")</f>
        <v>Morgenmad</v>
      </c>
      <c r="C138" s="67">
        <f ca="1">IF(B138=Morgenmad,Tilmeldingsoversigt!$C$15," ")</f>
        <v>16.754098360655739</v>
      </c>
      <c r="D138" s="136" t="str">
        <f>IF(Tilmeldingsoversigt!$D$7="x",Morgenmad," ")</f>
        <v>Morgenmad</v>
      </c>
      <c r="E138" s="67">
        <f ca="1">IF(D138=Morgenmad,Tilmeldingsoversigt!$C$15," ")</f>
        <v>16.754098360655739</v>
      </c>
      <c r="F138" s="136" t="str">
        <f>IF(Tilmeldingsoversigt!$E$7="x",Morgenmad," ")</f>
        <v>Morgenmad</v>
      </c>
      <c r="G138" s="67">
        <f ca="1">IF(F138=Morgenmad,Tilmeldingsoversigt!$C$15," ")</f>
        <v>16.754098360655739</v>
      </c>
      <c r="H138" s="136" t="str">
        <f>IF(Tilmeldingsoversigt!$F$7="x",Morgenmad," ")</f>
        <v>Morgenmad</v>
      </c>
      <c r="I138" s="67">
        <f ca="1">IF(H138=Morgenmad,Tilmeldingsoversigt!$C$15," ")</f>
        <v>16.754098360655739</v>
      </c>
      <c r="J138" s="136" t="str">
        <f>IF(Tilmeldingsoversigt!$G$7="x",Morgenmad," ")</f>
        <v>Morgenmad</v>
      </c>
      <c r="K138" s="67">
        <f ca="1">IF(J138=Morgenmad,Tilmeldingsoversigt!$C$15," ")</f>
        <v>16.754098360655739</v>
      </c>
      <c r="L138" s="136" t="str">
        <f>IF(Tilmeldingsoversigt!$H$7="x",Morgenmad," ")</f>
        <v>Morgenmad</v>
      </c>
      <c r="M138" s="67">
        <f ca="1">IF(L138=Morgenmad,Tilmeldingsoversigt!$C$15," ")</f>
        <v>16.754098360655739</v>
      </c>
      <c r="N138" s="136" t="str">
        <f>IF(Tilmeldingsoversigt!$I$7="x",Morgenmad," ")</f>
        <v>Morgenmad</v>
      </c>
      <c r="O138" s="83">
        <f ca="1">IF(N138=Morgenmad,Tilmeldingsoversigt!$C$15," ")</f>
        <v>16.754098360655739</v>
      </c>
      <c r="P138" s="66"/>
    </row>
    <row r="139" spans="2:16" x14ac:dyDescent="0.25">
      <c r="B139" s="68" t="str">
        <f>IF(Tilmeldingsoversigt!$C$8="x",hovedret," ")</f>
        <v>Hovedret</v>
      </c>
      <c r="C139" s="69">
        <f ca="1">IF(B139=hovedret,Tilmeldingsoversigt!$C$16," ")</f>
        <v>55.016393442622949</v>
      </c>
      <c r="D139" s="68" t="str">
        <f>IF(Tilmeldingsoversigt!$D$8="x",hovedret," ")</f>
        <v>Hovedret</v>
      </c>
      <c r="E139" s="69">
        <f ca="1">IF(D139=hovedret,Tilmeldingsoversigt!$C$16," ")</f>
        <v>55.016393442622949</v>
      </c>
      <c r="F139" s="68" t="str">
        <f>IF(Tilmeldingsoversigt!$E$8="x",hovedret," ")</f>
        <v>Hovedret</v>
      </c>
      <c r="G139" s="69">
        <f ca="1">IF(F139=hovedret,Tilmeldingsoversigt!$C$16," ")</f>
        <v>55.016393442622949</v>
      </c>
      <c r="H139" s="68" t="str">
        <f>IF(Tilmeldingsoversigt!$F$8="x",hovedret," ")</f>
        <v>Hovedret</v>
      </c>
      <c r="I139" s="69">
        <f ca="1">IF(H139=hovedret,Tilmeldingsoversigt!$C$16," ")</f>
        <v>55.016393442622949</v>
      </c>
      <c r="J139" s="68" t="str">
        <f>IF(Tilmeldingsoversigt!$G$8="x",hovedret," ")</f>
        <v>Hovedret</v>
      </c>
      <c r="K139" s="69">
        <f ca="1">IF(J139=hovedret,Tilmeldingsoversigt!$C$16," ")</f>
        <v>55.016393442622949</v>
      </c>
      <c r="L139" s="68" t="str">
        <f>IF(Tilmeldingsoversigt!$H$8="x",hovedret," ")</f>
        <v>Hovedret</v>
      </c>
      <c r="M139" s="69">
        <f ca="1">IF(L139=hovedret,Tilmeldingsoversigt!$C$16," ")</f>
        <v>55.016393442622949</v>
      </c>
      <c r="N139" s="68" t="str">
        <f>IF(Tilmeldingsoversigt!$I$8="x",hovedret," ")</f>
        <v>Hovedret</v>
      </c>
      <c r="O139" s="70">
        <f ca="1">IF(N139=hovedret,Tilmeldingsoversigt!$C$16," ")</f>
        <v>55.016393442622949</v>
      </c>
      <c r="P139" s="66"/>
    </row>
    <row r="140" spans="2:16" x14ac:dyDescent="0.25">
      <c r="B140" s="68" t="str">
        <f>IF(Tilmeldingsoversigt!$C$9="x",Aftensmad," ")</f>
        <v>Aftensmad</v>
      </c>
      <c r="C140" s="69">
        <f ca="1">IF(B140=Aftensmad,Tilmeldingsoversigt!$C$17," ")</f>
        <v>27.540983606557376</v>
      </c>
      <c r="D140" s="68" t="str">
        <f>IF(Tilmeldingsoversigt!$D$9="x",Aftensmad," ")</f>
        <v>Aftensmad</v>
      </c>
      <c r="E140" s="69">
        <f ca="1">IF(D140=Aftensmad,Tilmeldingsoversigt!$C$17," ")</f>
        <v>27.540983606557376</v>
      </c>
      <c r="F140" s="68" t="str">
        <f>IF(Tilmeldingsoversigt!$E$9="x",Aftensmad," ")</f>
        <v>Aftensmad</v>
      </c>
      <c r="G140" s="69">
        <f ca="1">IF(F140=Aftensmad,Tilmeldingsoversigt!$C$17," ")</f>
        <v>27.540983606557376</v>
      </c>
      <c r="H140" s="68" t="str">
        <f>IF(Tilmeldingsoversigt!$F$9="x",Aftensmad," ")</f>
        <v>Aftensmad</v>
      </c>
      <c r="I140" s="69">
        <f ca="1">IF(H140=Aftensmad,Tilmeldingsoversigt!$C$17," ")</f>
        <v>27.540983606557376</v>
      </c>
      <c r="J140" s="68" t="str">
        <f>IF(Tilmeldingsoversigt!$G$9="x",Aftensmad," ")</f>
        <v>Aftensmad</v>
      </c>
      <c r="K140" s="69">
        <f ca="1">IF(J140=Aftensmad,Tilmeldingsoversigt!$C$17," ")</f>
        <v>27.540983606557376</v>
      </c>
      <c r="L140" s="68" t="str">
        <f>IF(Tilmeldingsoversigt!$H$9="x",Aftensmad," ")</f>
        <v>Aftensmad</v>
      </c>
      <c r="M140" s="69">
        <f ca="1">IF(L140=Aftensmad,Tilmeldingsoversigt!$C$17," ")</f>
        <v>27.540983606557376</v>
      </c>
      <c r="N140" s="68" t="str">
        <f>IF(Tilmeldingsoversigt!$I$9="x",Aftensmad," ")</f>
        <v>Aftensmad</v>
      </c>
      <c r="O140" s="70">
        <f ca="1">IF(N140=Aftensmad,Tilmeldingsoversigt!$C$17," ")</f>
        <v>27.540983606557376</v>
      </c>
      <c r="P140" s="66"/>
    </row>
    <row r="141" spans="2:16" x14ac:dyDescent="0.25">
      <c r="B141" s="68" t="str">
        <f>IF(Tilmeldingsoversigt!$C$10="x",biret," ")</f>
        <v>Biret</v>
      </c>
      <c r="C141" s="69">
        <f>IF(B141=biret,biretpris," ")</f>
        <v>0</v>
      </c>
      <c r="D141" s="68" t="str">
        <f>IF(Tilmeldingsoversigt!$D$10="x",biret," ")</f>
        <v>Biret</v>
      </c>
      <c r="E141" s="69">
        <f>IF(D141=biret,biretpris," ")</f>
        <v>0</v>
      </c>
      <c r="F141" s="68" t="str">
        <f>IF(Tilmeldingsoversigt!$E$10="x",biret," ")</f>
        <v>Biret</v>
      </c>
      <c r="G141" s="69">
        <f>IF(F141=biret,biretpris," ")</f>
        <v>0</v>
      </c>
      <c r="H141" s="68" t="str">
        <f>IF(Tilmeldingsoversigt!$F$10="x",biret," ")</f>
        <v>Biret</v>
      </c>
      <c r="I141" s="69">
        <f>IF(H141=biret,biretpris," ")</f>
        <v>0</v>
      </c>
      <c r="J141" s="68" t="str">
        <f>IF(Tilmeldingsoversigt!$G$10="x",biret," ")</f>
        <v>Biret</v>
      </c>
      <c r="K141" s="70">
        <f>IF(J141=biret,biretpris," ")</f>
        <v>0</v>
      </c>
      <c r="L141" s="68" t="str">
        <f>IF(Tilmeldingsoversigt!$H$10="x",biret," ")</f>
        <v>Biret</v>
      </c>
      <c r="M141" s="69">
        <f>IF(L141=biret,biretpris," ")</f>
        <v>0</v>
      </c>
      <c r="N141" s="68" t="str">
        <f>IF(Tilmeldingsoversigt!$I$10="x",biret," ")</f>
        <v>Biret</v>
      </c>
      <c r="O141" s="70">
        <f>IF(N141=biret,biretpris," ")</f>
        <v>0</v>
      </c>
      <c r="P141" s="66"/>
    </row>
    <row r="142" spans="2:16" x14ac:dyDescent="0.25">
      <c r="B142" s="71" t="str">
        <f>IF(Tilmeldingsoversigt!$C$11="x",mellemmåltid," ")</f>
        <v xml:space="preserve"> </v>
      </c>
      <c r="C142" s="69" t="str">
        <f>IF(B142=mellemmåltid,mellemmåltidspris," ")</f>
        <v xml:space="preserve"> </v>
      </c>
      <c r="D142" s="71" t="str">
        <f>IF(Tilmeldingsoversigt!$C$11="x",mellemmåltid," ")</f>
        <v xml:space="preserve"> </v>
      </c>
      <c r="E142" s="72" t="str">
        <f>IF(D142=mellemmåltid,mellemmåltidspris," ")</f>
        <v xml:space="preserve"> </v>
      </c>
      <c r="F142" s="71" t="str">
        <f>IF(Tilmeldingsoversigt!$C$11="x",mellemmåltid," ")</f>
        <v xml:space="preserve"> </v>
      </c>
      <c r="G142" s="72" t="str">
        <f>IF(F142=mellemmåltid,mellemmåltidspris," ")</f>
        <v xml:space="preserve"> </v>
      </c>
      <c r="H142" s="71" t="str">
        <f>IF(Tilmeldingsoversigt!$C$11="x",mellemmåltid," ")</f>
        <v xml:space="preserve"> </v>
      </c>
      <c r="I142" s="72" t="str">
        <f>IF(H142=mellemmåltid,mellemmåltidspris," ")</f>
        <v xml:space="preserve"> </v>
      </c>
      <c r="J142" s="71" t="str">
        <f>IF(Tilmeldingsoversigt!$C$11="x",mellemmåltid," ")</f>
        <v xml:space="preserve"> </v>
      </c>
      <c r="K142" s="73" t="str">
        <f>IF(J142=mellemmåltid,mellemmåltidspris," ")</f>
        <v xml:space="preserve"> </v>
      </c>
      <c r="L142" s="71" t="str">
        <f>IF(Tilmeldingsoversigt!$C$11="x",mellemmåltid," ")</f>
        <v xml:space="preserve"> </v>
      </c>
      <c r="M142" s="72" t="str">
        <f>IF(L142=mellemmåltid,mellemmåltidspris," ")</f>
        <v xml:space="preserve"> </v>
      </c>
      <c r="N142" s="71" t="str">
        <f>IF(Tilmeldingsoversigt!$C$11="x",mellemmåltid," ")</f>
        <v xml:space="preserve"> </v>
      </c>
      <c r="O142" s="73" t="str">
        <f>IF(N142=mellemmåltid,mellemmåltidspris," ")</f>
        <v xml:space="preserve"> </v>
      </c>
      <c r="P142" s="66"/>
    </row>
    <row r="143" spans="2:16" x14ac:dyDescent="0.25">
      <c r="B143" s="74" t="s">
        <v>44</v>
      </c>
      <c r="C143" s="11">
        <f ca="1">SUM(C138:C142)</f>
        <v>99.311475409836063</v>
      </c>
      <c r="D143" s="74"/>
      <c r="E143" s="11">
        <f ca="1">SUM(E138:E142)</f>
        <v>99.311475409836063</v>
      </c>
      <c r="F143" s="74"/>
      <c r="G143" s="11">
        <f ca="1">SUM(G138:G142)</f>
        <v>99.311475409836063</v>
      </c>
      <c r="H143" s="74"/>
      <c r="I143" s="11">
        <f ca="1">SUM(I138:I142)</f>
        <v>99.311475409836063</v>
      </c>
      <c r="J143" s="74"/>
      <c r="K143" s="11">
        <f ca="1">SUM(K138:K142)</f>
        <v>99.311475409836063</v>
      </c>
      <c r="L143" s="74"/>
      <c r="M143" s="11">
        <f ca="1">SUM(M138:M142)</f>
        <v>99.311475409836063</v>
      </c>
      <c r="N143" s="74"/>
      <c r="O143" s="12">
        <f ca="1">SUM(O138:O142)</f>
        <v>99.311475409836063</v>
      </c>
      <c r="P143" s="75">
        <f ca="1">SUM(C143,E143,G143,I143,K143,M143,O143)</f>
        <v>695.18032786885237</v>
      </c>
    </row>
    <row r="144" spans="2:16" x14ac:dyDescent="0.2">
      <c r="B144" s="76"/>
      <c r="C144" s="77"/>
      <c r="D144" s="77"/>
      <c r="E144" s="77"/>
      <c r="F144" s="77"/>
      <c r="G144" s="77"/>
      <c r="H144" s="77"/>
      <c r="I144" s="77"/>
      <c r="J144" s="77"/>
      <c r="K144" s="77"/>
      <c r="L144" s="77"/>
      <c r="M144" s="77"/>
      <c r="N144" s="77"/>
      <c r="O144" s="77"/>
      <c r="P144" s="76"/>
    </row>
    <row r="145" spans="2:16" ht="12.75" x14ac:dyDescent="0.25">
      <c r="B145" s="78">
        <f>N136+1</f>
        <v>11</v>
      </c>
      <c r="C145" s="79"/>
      <c r="D145" s="78">
        <f>B145+1</f>
        <v>12</v>
      </c>
      <c r="E145" s="79"/>
      <c r="F145" s="78">
        <f>D145+1</f>
        <v>13</v>
      </c>
      <c r="G145" s="79"/>
      <c r="H145" s="78">
        <f>F145+1</f>
        <v>14</v>
      </c>
      <c r="I145" s="79"/>
      <c r="J145" s="78">
        <f>H145+1</f>
        <v>15</v>
      </c>
      <c r="K145" s="79"/>
      <c r="L145" s="78">
        <f>J145+1</f>
        <v>16</v>
      </c>
      <c r="M145" s="79"/>
      <c r="N145" s="78">
        <f>L145+1</f>
        <v>17</v>
      </c>
      <c r="O145" s="79"/>
      <c r="P145" s="80"/>
    </row>
    <row r="146" spans="2:16" x14ac:dyDescent="0.25">
      <c r="B146" s="64" t="s">
        <v>42</v>
      </c>
      <c r="C146" s="81" t="s">
        <v>43</v>
      </c>
      <c r="D146" s="64" t="s">
        <v>42</v>
      </c>
      <c r="E146" s="81" t="s">
        <v>43</v>
      </c>
      <c r="F146" s="64" t="s">
        <v>42</v>
      </c>
      <c r="G146" s="81" t="s">
        <v>43</v>
      </c>
      <c r="H146" s="64" t="s">
        <v>42</v>
      </c>
      <c r="I146" s="81" t="s">
        <v>43</v>
      </c>
      <c r="J146" s="64" t="s">
        <v>42</v>
      </c>
      <c r="K146" s="81" t="s">
        <v>43</v>
      </c>
      <c r="L146" s="64" t="s">
        <v>42</v>
      </c>
      <c r="M146" s="81" t="s">
        <v>43</v>
      </c>
      <c r="N146" s="64" t="s">
        <v>42</v>
      </c>
      <c r="O146" s="82" t="s">
        <v>43</v>
      </c>
      <c r="P146" s="66"/>
    </row>
    <row r="147" spans="2:16" x14ac:dyDescent="0.25">
      <c r="B147" s="136" t="str">
        <f>IF(Tilmeldingsoversigt!$C$7="x",Morgenmad," ")</f>
        <v>Morgenmad</v>
      </c>
      <c r="C147" s="67">
        <f ca="1">IF(B147=Morgenmad,Tilmeldingsoversigt!$C$15," ")</f>
        <v>16.754098360655739</v>
      </c>
      <c r="D147" s="136" t="str">
        <f>IF(Tilmeldingsoversigt!$D$7="x",Morgenmad," ")</f>
        <v>Morgenmad</v>
      </c>
      <c r="E147" s="67">
        <f ca="1">IF(D147=Morgenmad,Tilmeldingsoversigt!$C$15," ")</f>
        <v>16.754098360655739</v>
      </c>
      <c r="F147" s="136" t="str">
        <f>IF(Tilmeldingsoversigt!$E$7="x",Morgenmad," ")</f>
        <v>Morgenmad</v>
      </c>
      <c r="G147" s="67">
        <f ca="1">IF(F147=Morgenmad,Tilmeldingsoversigt!$C$15," ")</f>
        <v>16.754098360655739</v>
      </c>
      <c r="H147" s="136" t="str">
        <f>IF(Tilmeldingsoversigt!$F$7="x",Morgenmad," ")</f>
        <v>Morgenmad</v>
      </c>
      <c r="I147" s="67">
        <f ca="1">IF(H147=Morgenmad,Tilmeldingsoversigt!$C$15," ")</f>
        <v>16.754098360655739</v>
      </c>
      <c r="J147" s="136" t="str">
        <f>IF(Tilmeldingsoversigt!$G$7="x",Morgenmad," ")</f>
        <v>Morgenmad</v>
      </c>
      <c r="K147" s="67">
        <f ca="1">IF(J147=Morgenmad,Tilmeldingsoversigt!$C$15," ")</f>
        <v>16.754098360655739</v>
      </c>
      <c r="L147" s="136" t="str">
        <f>IF(Tilmeldingsoversigt!$H$7="x",Morgenmad," ")</f>
        <v>Morgenmad</v>
      </c>
      <c r="M147" s="67">
        <f ca="1">IF(L147=Morgenmad,Tilmeldingsoversigt!$C$15," ")</f>
        <v>16.754098360655739</v>
      </c>
      <c r="N147" s="136" t="str">
        <f>IF(Tilmeldingsoversigt!$I$7="x",Morgenmad," ")</f>
        <v>Morgenmad</v>
      </c>
      <c r="O147" s="83">
        <f ca="1">IF(N147=Morgenmad,Tilmeldingsoversigt!$C$15," ")</f>
        <v>16.754098360655739</v>
      </c>
      <c r="P147" s="66"/>
    </row>
    <row r="148" spans="2:16" x14ac:dyDescent="0.25">
      <c r="B148" s="68" t="str">
        <f>IF(Tilmeldingsoversigt!$C$8="x",hovedret," ")</f>
        <v>Hovedret</v>
      </c>
      <c r="C148" s="69">
        <f ca="1">IF(B148=hovedret,Tilmeldingsoversigt!$C$16," ")</f>
        <v>55.016393442622949</v>
      </c>
      <c r="D148" s="68" t="str">
        <f>IF(Tilmeldingsoversigt!$D$8="x",hovedret," ")</f>
        <v>Hovedret</v>
      </c>
      <c r="E148" s="69">
        <f ca="1">IF(D148=hovedret,Tilmeldingsoversigt!$C$16," ")</f>
        <v>55.016393442622949</v>
      </c>
      <c r="F148" s="68" t="str">
        <f>IF(Tilmeldingsoversigt!$E$8="x",hovedret," ")</f>
        <v>Hovedret</v>
      </c>
      <c r="G148" s="69">
        <f ca="1">IF(F148=hovedret,Tilmeldingsoversigt!$C$16," ")</f>
        <v>55.016393442622949</v>
      </c>
      <c r="H148" s="68" t="str">
        <f>IF(Tilmeldingsoversigt!$F$8="x",hovedret," ")</f>
        <v>Hovedret</v>
      </c>
      <c r="I148" s="69">
        <f ca="1">IF(H148=hovedret,Tilmeldingsoversigt!$C$16," ")</f>
        <v>55.016393442622949</v>
      </c>
      <c r="J148" s="68" t="str">
        <f>IF(Tilmeldingsoversigt!$G$8="x",hovedret," ")</f>
        <v>Hovedret</v>
      </c>
      <c r="K148" s="69">
        <f ca="1">IF(J148=hovedret,Tilmeldingsoversigt!$C$16," ")</f>
        <v>55.016393442622949</v>
      </c>
      <c r="L148" s="68" t="str">
        <f>IF(Tilmeldingsoversigt!$H$8="x",hovedret," ")</f>
        <v>Hovedret</v>
      </c>
      <c r="M148" s="69">
        <f ca="1">IF(L148=hovedret,Tilmeldingsoversigt!$C$16," ")</f>
        <v>55.016393442622949</v>
      </c>
      <c r="N148" s="68" t="str">
        <f>IF(Tilmeldingsoversigt!$I$8="x",hovedret," ")</f>
        <v>Hovedret</v>
      </c>
      <c r="O148" s="70">
        <f ca="1">IF(N148=hovedret,Tilmeldingsoversigt!$C$16," ")</f>
        <v>55.016393442622949</v>
      </c>
      <c r="P148" s="66"/>
    </row>
    <row r="149" spans="2:16" x14ac:dyDescent="0.25">
      <c r="B149" s="68" t="str">
        <f>IF(Tilmeldingsoversigt!$C$9="x",Aftensmad," ")</f>
        <v>Aftensmad</v>
      </c>
      <c r="C149" s="69">
        <f ca="1">IF(B149=Aftensmad,Tilmeldingsoversigt!$C$17," ")</f>
        <v>27.540983606557376</v>
      </c>
      <c r="D149" s="68" t="str">
        <f>IF(Tilmeldingsoversigt!$D$9="x",Aftensmad," ")</f>
        <v>Aftensmad</v>
      </c>
      <c r="E149" s="69">
        <f ca="1">IF(D149=Aftensmad,Tilmeldingsoversigt!$C$17," ")</f>
        <v>27.540983606557376</v>
      </c>
      <c r="F149" s="68" t="str">
        <f>IF(Tilmeldingsoversigt!$E$9="x",Aftensmad," ")</f>
        <v>Aftensmad</v>
      </c>
      <c r="G149" s="69">
        <f ca="1">IF(F149=Aftensmad,Tilmeldingsoversigt!$C$17," ")</f>
        <v>27.540983606557376</v>
      </c>
      <c r="H149" s="68" t="str">
        <f>IF(Tilmeldingsoversigt!$F$9="x",Aftensmad," ")</f>
        <v>Aftensmad</v>
      </c>
      <c r="I149" s="69">
        <f ca="1">IF(H149=Aftensmad,Tilmeldingsoversigt!$C$17," ")</f>
        <v>27.540983606557376</v>
      </c>
      <c r="J149" s="68" t="str">
        <f>IF(Tilmeldingsoversigt!$G$9="x",Aftensmad," ")</f>
        <v>Aftensmad</v>
      </c>
      <c r="K149" s="69">
        <f ca="1">IF(J149=Aftensmad,Tilmeldingsoversigt!$C$17," ")</f>
        <v>27.540983606557376</v>
      </c>
      <c r="L149" s="68" t="str">
        <f>IF(Tilmeldingsoversigt!$H$9="x",Aftensmad," ")</f>
        <v>Aftensmad</v>
      </c>
      <c r="M149" s="69">
        <f ca="1">IF(L149=Aftensmad,Tilmeldingsoversigt!$C$17," ")</f>
        <v>27.540983606557376</v>
      </c>
      <c r="N149" s="68" t="str">
        <f>IF(Tilmeldingsoversigt!$I$9="x",Aftensmad," ")</f>
        <v>Aftensmad</v>
      </c>
      <c r="O149" s="70">
        <f ca="1">IF(N149=Aftensmad,Tilmeldingsoversigt!$C$17," ")</f>
        <v>27.540983606557376</v>
      </c>
      <c r="P149" s="66"/>
    </row>
    <row r="150" spans="2:16" x14ac:dyDescent="0.25">
      <c r="B150" s="68" t="str">
        <f>IF(Tilmeldingsoversigt!$C$10="x",biret," ")</f>
        <v>Biret</v>
      </c>
      <c r="C150" s="69">
        <f>IF(B150=biret,biretpris," ")</f>
        <v>0</v>
      </c>
      <c r="D150" s="68" t="str">
        <f>IF(Tilmeldingsoversigt!$D$10="x",biret," ")</f>
        <v>Biret</v>
      </c>
      <c r="E150" s="69">
        <f>IF(D150=biret,biretpris," ")</f>
        <v>0</v>
      </c>
      <c r="F150" s="68" t="str">
        <f>IF(Tilmeldingsoversigt!$E$10="x",biret," ")</f>
        <v>Biret</v>
      </c>
      <c r="G150" s="69">
        <f>IF(F150=biret,biretpris," ")</f>
        <v>0</v>
      </c>
      <c r="H150" s="68" t="str">
        <f>IF(Tilmeldingsoversigt!$F$10="x",biret," ")</f>
        <v>Biret</v>
      </c>
      <c r="I150" s="69">
        <f>IF(H150=biret,biretpris," ")</f>
        <v>0</v>
      </c>
      <c r="J150" s="68" t="str">
        <f>IF(Tilmeldingsoversigt!$G$10="x",biret," ")</f>
        <v>Biret</v>
      </c>
      <c r="K150" s="70">
        <f>IF(J150=biret,biretpris," ")</f>
        <v>0</v>
      </c>
      <c r="L150" s="68" t="str">
        <f>IF(Tilmeldingsoversigt!$H$10="x",biret," ")</f>
        <v>Biret</v>
      </c>
      <c r="M150" s="69">
        <f>IF(L150=biret,biretpris," ")</f>
        <v>0</v>
      </c>
      <c r="N150" s="68" t="str">
        <f>IF(Tilmeldingsoversigt!$I$10="x",biret," ")</f>
        <v>Biret</v>
      </c>
      <c r="O150" s="70">
        <f>IF(N150=biret,biretpris," ")</f>
        <v>0</v>
      </c>
      <c r="P150" s="66"/>
    </row>
    <row r="151" spans="2:16" x14ac:dyDescent="0.25">
      <c r="B151" s="71" t="str">
        <f>IF(Tilmeldingsoversigt!$C$11="x",mellemmåltid," ")</f>
        <v xml:space="preserve"> </v>
      </c>
      <c r="C151" s="69" t="str">
        <f>IF(B151=mellemmåltid,mellemmåltidspris," ")</f>
        <v xml:space="preserve"> </v>
      </c>
      <c r="D151" s="71" t="str">
        <f>IF(Tilmeldingsoversigt!$C$11="x",mellemmåltid," ")</f>
        <v xml:space="preserve"> </v>
      </c>
      <c r="E151" s="72" t="str">
        <f>IF(D151=mellemmåltid,mellemmåltidspris," ")</f>
        <v xml:space="preserve"> </v>
      </c>
      <c r="F151" s="71" t="str">
        <f>IF(Tilmeldingsoversigt!$C$11="x",mellemmåltid," ")</f>
        <v xml:space="preserve"> </v>
      </c>
      <c r="G151" s="72" t="str">
        <f>IF(F151=mellemmåltid,mellemmåltidspris," ")</f>
        <v xml:space="preserve"> </v>
      </c>
      <c r="H151" s="71" t="str">
        <f>IF(Tilmeldingsoversigt!$C$11="x",mellemmåltid," ")</f>
        <v xml:space="preserve"> </v>
      </c>
      <c r="I151" s="72" t="str">
        <f>IF(H151=mellemmåltid,mellemmåltidspris," ")</f>
        <v xml:space="preserve"> </v>
      </c>
      <c r="J151" s="71" t="str">
        <f>IF(Tilmeldingsoversigt!$C$11="x",mellemmåltid," ")</f>
        <v xml:space="preserve"> </v>
      </c>
      <c r="K151" s="73" t="str">
        <f>IF(J151=mellemmåltid,mellemmåltidspris," ")</f>
        <v xml:space="preserve"> </v>
      </c>
      <c r="L151" s="71" t="str">
        <f>IF(Tilmeldingsoversigt!$C$11="x",mellemmåltid," ")</f>
        <v xml:space="preserve"> </v>
      </c>
      <c r="M151" s="72" t="str">
        <f>IF(L151=mellemmåltid,mellemmåltidspris," ")</f>
        <v xml:space="preserve"> </v>
      </c>
      <c r="N151" s="71" t="str">
        <f>IF(Tilmeldingsoversigt!$C$11="x",mellemmåltid," ")</f>
        <v xml:space="preserve"> </v>
      </c>
      <c r="O151" s="73" t="str">
        <f>IF(N151=mellemmåltid,mellemmåltidspris," ")</f>
        <v xml:space="preserve"> </v>
      </c>
      <c r="P151" s="66"/>
    </row>
    <row r="152" spans="2:16" x14ac:dyDescent="0.25">
      <c r="B152" s="84" t="s">
        <v>44</v>
      </c>
      <c r="C152" s="11">
        <f ca="1">SUM(C147:C151)</f>
        <v>99.311475409836063</v>
      </c>
      <c r="D152" s="74"/>
      <c r="E152" s="11">
        <f ca="1">SUM(E147:E151)</f>
        <v>99.311475409836063</v>
      </c>
      <c r="F152" s="74"/>
      <c r="G152" s="11">
        <f ca="1">SUM(G147:G151)</f>
        <v>99.311475409836063</v>
      </c>
      <c r="H152" s="74"/>
      <c r="I152" s="11">
        <f ca="1">SUM(I147:I151)</f>
        <v>99.311475409836063</v>
      </c>
      <c r="J152" s="74"/>
      <c r="K152" s="11">
        <f ca="1">SUM(K147:K151)</f>
        <v>99.311475409836063</v>
      </c>
      <c r="L152" s="74"/>
      <c r="M152" s="11">
        <f ca="1">SUM(M147:M151)</f>
        <v>99.311475409836063</v>
      </c>
      <c r="N152" s="74"/>
      <c r="O152" s="12">
        <f ca="1">SUM(O147:O151)</f>
        <v>99.311475409836063</v>
      </c>
      <c r="P152" s="75">
        <f ca="1">SUM(C152,E152,G152,I152,K152,M152,O152)</f>
        <v>695.18032786885237</v>
      </c>
    </row>
    <row r="153" spans="2:16" x14ac:dyDescent="0.2">
      <c r="B153" s="76"/>
      <c r="C153" s="77"/>
      <c r="D153" s="77"/>
      <c r="E153" s="77"/>
      <c r="F153" s="77"/>
      <c r="G153" s="77"/>
      <c r="H153" s="77"/>
      <c r="I153" s="77"/>
      <c r="J153" s="77"/>
      <c r="K153" s="77"/>
      <c r="L153" s="77"/>
      <c r="M153" s="77"/>
      <c r="N153" s="77"/>
      <c r="O153" s="77"/>
      <c r="P153" s="76"/>
    </row>
    <row r="154" spans="2:16" ht="12.75" x14ac:dyDescent="0.25">
      <c r="B154" s="78">
        <f>N145+1</f>
        <v>18</v>
      </c>
      <c r="C154" s="79"/>
      <c r="D154" s="78">
        <f>B154+1</f>
        <v>19</v>
      </c>
      <c r="E154" s="79"/>
      <c r="F154" s="78">
        <f>D154+1</f>
        <v>20</v>
      </c>
      <c r="G154" s="79"/>
      <c r="H154" s="78">
        <f>F154+1</f>
        <v>21</v>
      </c>
      <c r="I154" s="79"/>
      <c r="J154" s="78">
        <f>H154+1</f>
        <v>22</v>
      </c>
      <c r="K154" s="79"/>
      <c r="L154" s="78">
        <f>J154+1</f>
        <v>23</v>
      </c>
      <c r="M154" s="79"/>
      <c r="N154" s="78">
        <f>L154+1</f>
        <v>24</v>
      </c>
      <c r="O154" s="79"/>
      <c r="P154" s="80"/>
    </row>
    <row r="155" spans="2:16" x14ac:dyDescent="0.25">
      <c r="B155" s="64" t="s">
        <v>42</v>
      </c>
      <c r="C155" s="81" t="s">
        <v>43</v>
      </c>
      <c r="D155" s="64" t="s">
        <v>42</v>
      </c>
      <c r="E155" s="81" t="s">
        <v>43</v>
      </c>
      <c r="F155" s="64" t="s">
        <v>42</v>
      </c>
      <c r="G155" s="81" t="s">
        <v>43</v>
      </c>
      <c r="H155" s="64" t="s">
        <v>42</v>
      </c>
      <c r="I155" s="81" t="s">
        <v>43</v>
      </c>
      <c r="J155" s="64" t="s">
        <v>42</v>
      </c>
      <c r="K155" s="81" t="s">
        <v>43</v>
      </c>
      <c r="L155" s="64" t="s">
        <v>42</v>
      </c>
      <c r="M155" s="81" t="s">
        <v>43</v>
      </c>
      <c r="N155" s="64" t="s">
        <v>42</v>
      </c>
      <c r="O155" s="82" t="s">
        <v>43</v>
      </c>
      <c r="P155" s="66"/>
    </row>
    <row r="156" spans="2:16" x14ac:dyDescent="0.25">
      <c r="B156" s="136" t="str">
        <f>IF(Tilmeldingsoversigt!$C$7="x",Morgenmad," ")</f>
        <v>Morgenmad</v>
      </c>
      <c r="C156" s="67">
        <f ca="1">IF(B156=Morgenmad,Tilmeldingsoversigt!$C$15," ")</f>
        <v>16.754098360655739</v>
      </c>
      <c r="D156" s="136" t="str">
        <f>IF(Tilmeldingsoversigt!$D$7="x",Morgenmad," ")</f>
        <v>Morgenmad</v>
      </c>
      <c r="E156" s="67">
        <f ca="1">IF(D156=Morgenmad,Tilmeldingsoversigt!$C$15," ")</f>
        <v>16.754098360655739</v>
      </c>
      <c r="F156" s="136" t="str">
        <f>IF(Tilmeldingsoversigt!$E$7="x",Morgenmad," ")</f>
        <v>Morgenmad</v>
      </c>
      <c r="G156" s="67">
        <f ca="1">IF(F156=Morgenmad,Tilmeldingsoversigt!$C$15," ")</f>
        <v>16.754098360655739</v>
      </c>
      <c r="H156" s="136" t="str">
        <f>IF(Tilmeldingsoversigt!$F$7="x",Morgenmad," ")</f>
        <v>Morgenmad</v>
      </c>
      <c r="I156" s="67">
        <f ca="1">IF(H156=Morgenmad,Tilmeldingsoversigt!$C$15," ")</f>
        <v>16.754098360655739</v>
      </c>
      <c r="J156" s="136" t="str">
        <f>IF(Tilmeldingsoversigt!$G$7="x",Morgenmad," ")</f>
        <v>Morgenmad</v>
      </c>
      <c r="K156" s="67">
        <f ca="1">IF(J156=Morgenmad,Tilmeldingsoversigt!$C$15," ")</f>
        <v>16.754098360655739</v>
      </c>
      <c r="L156" s="136" t="str">
        <f>IF(Tilmeldingsoversigt!$H$7="x",Morgenmad," ")</f>
        <v>Morgenmad</v>
      </c>
      <c r="M156" s="67">
        <f ca="1">IF(L156=Morgenmad,Tilmeldingsoversigt!$C$15," ")</f>
        <v>16.754098360655739</v>
      </c>
      <c r="N156" s="136" t="str">
        <f>IF(Tilmeldingsoversigt!$I$7="x",Morgenmad," ")</f>
        <v>Morgenmad</v>
      </c>
      <c r="O156" s="83">
        <f ca="1">IF(N156=Morgenmad,Tilmeldingsoversigt!$C$15," ")</f>
        <v>16.754098360655739</v>
      </c>
      <c r="P156" s="66"/>
    </row>
    <row r="157" spans="2:16" x14ac:dyDescent="0.25">
      <c r="B157" s="68" t="str">
        <f>IF(Tilmeldingsoversigt!$C$8="x",hovedret," ")</f>
        <v>Hovedret</v>
      </c>
      <c r="C157" s="69">
        <f ca="1">IF(B157=hovedret,Tilmeldingsoversigt!$C$16," ")</f>
        <v>55.016393442622949</v>
      </c>
      <c r="D157" s="68" t="str">
        <f>IF(Tilmeldingsoversigt!$D$8="x",hovedret," ")</f>
        <v>Hovedret</v>
      </c>
      <c r="E157" s="69">
        <f ca="1">IF(D157=hovedret,Tilmeldingsoversigt!$C$16," ")</f>
        <v>55.016393442622949</v>
      </c>
      <c r="F157" s="68" t="str">
        <f>IF(Tilmeldingsoversigt!$E$8="x",hovedret," ")</f>
        <v>Hovedret</v>
      </c>
      <c r="G157" s="69">
        <f ca="1">IF(F157=hovedret,Tilmeldingsoversigt!$C$16," ")</f>
        <v>55.016393442622949</v>
      </c>
      <c r="H157" s="68" t="str">
        <f>IF(Tilmeldingsoversigt!$F$8="x",hovedret," ")</f>
        <v>Hovedret</v>
      </c>
      <c r="I157" s="69">
        <f ca="1">IF(H157=hovedret,Tilmeldingsoversigt!$C$16," ")</f>
        <v>55.016393442622949</v>
      </c>
      <c r="J157" s="68" t="str">
        <f>IF(Tilmeldingsoversigt!$G$8="x",hovedret," ")</f>
        <v>Hovedret</v>
      </c>
      <c r="K157" s="69">
        <f ca="1">IF(J157=hovedret,Tilmeldingsoversigt!$C$16," ")</f>
        <v>55.016393442622949</v>
      </c>
      <c r="L157" s="68" t="str">
        <f>IF(Tilmeldingsoversigt!$H$8="x",hovedret," ")</f>
        <v>Hovedret</v>
      </c>
      <c r="M157" s="69">
        <f ca="1">IF(L157=hovedret,Tilmeldingsoversigt!$C$16," ")</f>
        <v>55.016393442622949</v>
      </c>
      <c r="N157" s="68" t="str">
        <f>IF(Tilmeldingsoversigt!$I$8="x",hovedret," ")</f>
        <v>Hovedret</v>
      </c>
      <c r="O157" s="70">
        <f ca="1">IF(N157=hovedret,Tilmeldingsoversigt!$C$16," ")</f>
        <v>55.016393442622949</v>
      </c>
      <c r="P157" s="66"/>
    </row>
    <row r="158" spans="2:16" x14ac:dyDescent="0.25">
      <c r="B158" s="68" t="str">
        <f>IF(Tilmeldingsoversigt!$C$9="x",Aftensmad," ")</f>
        <v>Aftensmad</v>
      </c>
      <c r="C158" s="69">
        <f ca="1">IF(B158=Aftensmad,Tilmeldingsoversigt!$C$17," ")</f>
        <v>27.540983606557376</v>
      </c>
      <c r="D158" s="68" t="str">
        <f>IF(Tilmeldingsoversigt!$D$9="x",Aftensmad," ")</f>
        <v>Aftensmad</v>
      </c>
      <c r="E158" s="69">
        <f ca="1">IF(D158=Aftensmad,Tilmeldingsoversigt!$C$17," ")</f>
        <v>27.540983606557376</v>
      </c>
      <c r="F158" s="68" t="str">
        <f>IF(Tilmeldingsoversigt!$E$9="x",Aftensmad," ")</f>
        <v>Aftensmad</v>
      </c>
      <c r="G158" s="69">
        <f ca="1">IF(F158=Aftensmad,Tilmeldingsoversigt!$C$17," ")</f>
        <v>27.540983606557376</v>
      </c>
      <c r="H158" s="68" t="str">
        <f>IF(Tilmeldingsoversigt!$F$9="x",Aftensmad," ")</f>
        <v>Aftensmad</v>
      </c>
      <c r="I158" s="69">
        <f ca="1">IF(H158=Aftensmad,Tilmeldingsoversigt!$C$17," ")</f>
        <v>27.540983606557376</v>
      </c>
      <c r="J158" s="68" t="str">
        <f>IF(Tilmeldingsoversigt!$G$9="x",Aftensmad," ")</f>
        <v>Aftensmad</v>
      </c>
      <c r="K158" s="69">
        <f ca="1">IF(J158=Aftensmad,Tilmeldingsoversigt!$C$17," ")</f>
        <v>27.540983606557376</v>
      </c>
      <c r="L158" s="68" t="str">
        <f>IF(Tilmeldingsoversigt!$H$9="x",Aftensmad," ")</f>
        <v>Aftensmad</v>
      </c>
      <c r="M158" s="69">
        <f ca="1">IF(L158=Aftensmad,Tilmeldingsoversigt!$C$17," ")</f>
        <v>27.540983606557376</v>
      </c>
      <c r="N158" s="68" t="str">
        <f>IF(Tilmeldingsoversigt!$I$9="x",Aftensmad," ")</f>
        <v>Aftensmad</v>
      </c>
      <c r="O158" s="70">
        <f ca="1">IF(N158=Aftensmad,Tilmeldingsoversigt!$C$17," ")</f>
        <v>27.540983606557376</v>
      </c>
      <c r="P158" s="66"/>
    </row>
    <row r="159" spans="2:16" x14ac:dyDescent="0.25">
      <c r="B159" s="68" t="str">
        <f>IF(Tilmeldingsoversigt!$C$10="x",biret," ")</f>
        <v>Biret</v>
      </c>
      <c r="C159" s="69">
        <f>IF(B159=biret,biretpris," ")</f>
        <v>0</v>
      </c>
      <c r="D159" s="68" t="str">
        <f>IF(Tilmeldingsoversigt!$D$10="x",biret," ")</f>
        <v>Biret</v>
      </c>
      <c r="E159" s="69">
        <f>IF(D159=biret,biretpris," ")</f>
        <v>0</v>
      </c>
      <c r="F159" s="68" t="str">
        <f>IF(Tilmeldingsoversigt!$E$10="x",biret," ")</f>
        <v>Biret</v>
      </c>
      <c r="G159" s="69">
        <f>IF(F159=biret,biretpris," ")</f>
        <v>0</v>
      </c>
      <c r="H159" s="68" t="str">
        <f>IF(Tilmeldingsoversigt!$F$10="x",biret," ")</f>
        <v>Biret</v>
      </c>
      <c r="I159" s="69">
        <f>IF(H159=biret,biretpris," ")</f>
        <v>0</v>
      </c>
      <c r="J159" s="68" t="str">
        <f>IF(Tilmeldingsoversigt!$G$10="x",biret," ")</f>
        <v>Biret</v>
      </c>
      <c r="K159" s="70">
        <f>IF(J159=biret,biretpris," ")</f>
        <v>0</v>
      </c>
      <c r="L159" s="68" t="str">
        <f>IF(Tilmeldingsoversigt!$H$10="x",biret," ")</f>
        <v>Biret</v>
      </c>
      <c r="M159" s="69">
        <f>IF(L159=biret,biretpris," ")</f>
        <v>0</v>
      </c>
      <c r="N159" s="68" t="str">
        <f>IF(Tilmeldingsoversigt!$I$10="x",biret," ")</f>
        <v>Biret</v>
      </c>
      <c r="O159" s="70">
        <f>IF(N159=biret,biretpris," ")</f>
        <v>0</v>
      </c>
      <c r="P159" s="66"/>
    </row>
    <row r="160" spans="2:16" x14ac:dyDescent="0.25">
      <c r="B160" s="71" t="str">
        <f>IF(Tilmeldingsoversigt!$C$11="x",mellemmåltid," ")</f>
        <v xml:space="preserve"> </v>
      </c>
      <c r="C160" s="69" t="str">
        <f>IF(B160=mellemmåltid,mellemmåltidspris," ")</f>
        <v xml:space="preserve"> </v>
      </c>
      <c r="D160" s="71" t="str">
        <f>IF(Tilmeldingsoversigt!$C$11="x",mellemmåltid," ")</f>
        <v xml:space="preserve"> </v>
      </c>
      <c r="E160" s="72" t="str">
        <f>IF(D160=mellemmåltid,mellemmåltidspris," ")</f>
        <v xml:space="preserve"> </v>
      </c>
      <c r="F160" s="71" t="str">
        <f>IF(Tilmeldingsoversigt!$C$11="x",mellemmåltid," ")</f>
        <v xml:space="preserve"> </v>
      </c>
      <c r="G160" s="72" t="str">
        <f>IF(F160=mellemmåltid,mellemmåltidspris," ")</f>
        <v xml:space="preserve"> </v>
      </c>
      <c r="H160" s="71" t="str">
        <f>IF(Tilmeldingsoversigt!$C$11="x",mellemmåltid," ")</f>
        <v xml:space="preserve"> </v>
      </c>
      <c r="I160" s="72" t="str">
        <f>IF(H160=mellemmåltid,mellemmåltidspris," ")</f>
        <v xml:space="preserve"> </v>
      </c>
      <c r="J160" s="71" t="str">
        <f>IF(Tilmeldingsoversigt!$C$11="x",mellemmåltid," ")</f>
        <v xml:space="preserve"> </v>
      </c>
      <c r="K160" s="73" t="str">
        <f>IF(J160=mellemmåltid,mellemmåltidspris," ")</f>
        <v xml:space="preserve"> </v>
      </c>
      <c r="L160" s="71" t="str">
        <f>IF(Tilmeldingsoversigt!$C$11="x",mellemmåltid," ")</f>
        <v xml:space="preserve"> </v>
      </c>
      <c r="M160" s="72" t="str">
        <f>IF(L160=mellemmåltid,mellemmåltidspris," ")</f>
        <v xml:space="preserve"> </v>
      </c>
      <c r="N160" s="71" t="str">
        <f>IF(Tilmeldingsoversigt!$C$11="x",mellemmåltid," ")</f>
        <v xml:space="preserve"> </v>
      </c>
      <c r="O160" s="73" t="str">
        <f>IF(N160=mellemmåltid,mellemmåltidspris," ")</f>
        <v xml:space="preserve"> </v>
      </c>
      <c r="P160" s="66"/>
    </row>
    <row r="161" spans="2:16" x14ac:dyDescent="0.25">
      <c r="B161" s="74" t="s">
        <v>44</v>
      </c>
      <c r="C161" s="11">
        <f ca="1">SUM(C156:C160)</f>
        <v>99.311475409836063</v>
      </c>
      <c r="D161" s="74"/>
      <c r="E161" s="11">
        <f ca="1">SUM(E156:E160)</f>
        <v>99.311475409836063</v>
      </c>
      <c r="F161" s="74"/>
      <c r="G161" s="11">
        <f ca="1">SUM(G156:G160)</f>
        <v>99.311475409836063</v>
      </c>
      <c r="H161" s="74"/>
      <c r="I161" s="11">
        <f ca="1">SUM(I156:I160)</f>
        <v>99.311475409836063</v>
      </c>
      <c r="J161" s="74"/>
      <c r="K161" s="11">
        <f ca="1">SUM(K156:K160)</f>
        <v>99.311475409836063</v>
      </c>
      <c r="L161" s="74"/>
      <c r="M161" s="11">
        <f ca="1">SUM(M156:M160)</f>
        <v>99.311475409836063</v>
      </c>
      <c r="N161" s="74"/>
      <c r="O161" s="12">
        <f ca="1">SUM(O156:O160)</f>
        <v>99.311475409836063</v>
      </c>
      <c r="P161" s="75">
        <f ca="1">SUM(C161,E161,G161,I161,K161,M161,O161)</f>
        <v>695.18032786885237</v>
      </c>
    </row>
    <row r="162" spans="2:16" x14ac:dyDescent="0.2">
      <c r="B162" s="76"/>
      <c r="C162" s="77"/>
      <c r="D162" s="77"/>
      <c r="E162" s="77"/>
      <c r="F162" s="77"/>
      <c r="G162" s="77"/>
      <c r="H162" s="77"/>
      <c r="I162" s="77"/>
      <c r="J162" s="77"/>
      <c r="K162" s="77"/>
      <c r="L162" s="77"/>
      <c r="M162" s="77"/>
      <c r="N162" s="77"/>
      <c r="O162" s="77"/>
      <c r="P162" s="76"/>
    </row>
    <row r="163" spans="2:16" ht="12.75" x14ac:dyDescent="0.25">
      <c r="B163" s="78">
        <f>DAY(IF(DAY(MarSøn1)=1,MarSøn1+22,MarSøn1+29))</f>
        <v>25</v>
      </c>
      <c r="C163" s="79"/>
      <c r="D163" s="78">
        <f>DAY(IF(DAY(MarSøn1)=1,MarSøn1+23,MarSøn1+30))</f>
        <v>26</v>
      </c>
      <c r="E163" s="79"/>
      <c r="F163" s="78">
        <f>DAY(IF(DAY(MarSøn1)=1,MarSøn1+24,MarSøn1+31))</f>
        <v>27</v>
      </c>
      <c r="G163" s="79"/>
      <c r="H163" s="78">
        <f>DAY(IF(DAY(MarSøn1)=1,MarSøn1+25,MarSøn1+32))</f>
        <v>28</v>
      </c>
      <c r="I163" s="79"/>
      <c r="J163" s="78">
        <f>DAY(IF(DAY(MarSøn1)=1,MarSøn1+26,MarSøn1+33))</f>
        <v>29</v>
      </c>
      <c r="K163" s="79"/>
      <c r="L163" s="78">
        <f>DAY(IF(DAY(MarSøn1)=1,MarSøn1+27,MarSøn1+34))</f>
        <v>30</v>
      </c>
      <c r="M163" s="79"/>
      <c r="N163" s="78">
        <f>DAY(IF(DAY(MarSøn1)=1,MarSøn1+28,MarSøn1+35))</f>
        <v>31</v>
      </c>
      <c r="O163" s="79"/>
      <c r="P163" s="85"/>
    </row>
    <row r="164" spans="2:16" x14ac:dyDescent="0.25">
      <c r="B164" s="64" t="s">
        <v>42</v>
      </c>
      <c r="C164" s="81" t="s">
        <v>43</v>
      </c>
      <c r="D164" s="64" t="s">
        <v>42</v>
      </c>
      <c r="E164" s="81" t="s">
        <v>43</v>
      </c>
      <c r="F164" s="64" t="s">
        <v>42</v>
      </c>
      <c r="G164" s="81" t="s">
        <v>43</v>
      </c>
      <c r="H164" s="64" t="s">
        <v>42</v>
      </c>
      <c r="I164" s="81" t="s">
        <v>43</v>
      </c>
      <c r="J164" s="64" t="s">
        <v>42</v>
      </c>
      <c r="K164" s="81" t="s">
        <v>43</v>
      </c>
      <c r="L164" s="64" t="s">
        <v>42</v>
      </c>
      <c r="M164" s="81" t="s">
        <v>43</v>
      </c>
      <c r="N164" s="64" t="s">
        <v>42</v>
      </c>
      <c r="O164" s="82" t="s">
        <v>43</v>
      </c>
      <c r="P164" s="66"/>
    </row>
    <row r="165" spans="2:16" x14ac:dyDescent="0.25">
      <c r="B165" s="136" t="str">
        <f>IF(Tilmeldingsoversigt!$C$7="x",Morgenmad," ")</f>
        <v>Morgenmad</v>
      </c>
      <c r="C165" s="67">
        <f ca="1">IF(B165=Morgenmad,Tilmeldingsoversigt!$C$15," ")</f>
        <v>16.754098360655739</v>
      </c>
      <c r="D165" s="136" t="str">
        <f>IF(Tilmeldingsoversigt!$D$7="x",Morgenmad," ")</f>
        <v>Morgenmad</v>
      </c>
      <c r="E165" s="67">
        <f ca="1">IF(D165=Morgenmad,Tilmeldingsoversigt!$C$15," ")</f>
        <v>16.754098360655739</v>
      </c>
      <c r="F165" s="136" t="str">
        <f>IF(Tilmeldingsoversigt!$E$7="x",Morgenmad," ")</f>
        <v>Morgenmad</v>
      </c>
      <c r="G165" s="67">
        <f ca="1">IF(F165=Morgenmad,Tilmeldingsoversigt!$C$15," ")</f>
        <v>16.754098360655739</v>
      </c>
      <c r="H165" s="136" t="str">
        <f>IF(Tilmeldingsoversigt!$F$7="x",Morgenmad," ")</f>
        <v>Morgenmad</v>
      </c>
      <c r="I165" s="67">
        <f ca="1">IF(H165=Morgenmad,Tilmeldingsoversigt!$C$15," ")</f>
        <v>16.754098360655739</v>
      </c>
      <c r="J165" s="136"/>
      <c r="K165" s="67"/>
      <c r="L165" s="136"/>
      <c r="M165" s="67"/>
      <c r="N165" s="139"/>
      <c r="O165" s="86"/>
      <c r="P165" s="66"/>
    </row>
    <row r="166" spans="2:16" x14ac:dyDescent="0.25">
      <c r="B166" s="68" t="str">
        <f>IF(Tilmeldingsoversigt!$C$8="x",hovedret," ")</f>
        <v>Hovedret</v>
      </c>
      <c r="C166" s="69">
        <f ca="1">IF(B166=hovedret,Tilmeldingsoversigt!$C$16," ")</f>
        <v>55.016393442622949</v>
      </c>
      <c r="D166" s="68" t="str">
        <f>IF(Tilmeldingsoversigt!$D$8="x",hovedret," ")</f>
        <v>Hovedret</v>
      </c>
      <c r="E166" s="69">
        <f ca="1">IF(D166=hovedret,Tilmeldingsoversigt!$C$16," ")</f>
        <v>55.016393442622949</v>
      </c>
      <c r="F166" s="68" t="str">
        <f>IF(Tilmeldingsoversigt!$E$8="x",hovedret," ")</f>
        <v>Hovedret</v>
      </c>
      <c r="G166" s="69">
        <f ca="1">IF(F166=hovedret,Tilmeldingsoversigt!$C$16," ")</f>
        <v>55.016393442622949</v>
      </c>
      <c r="H166" s="68" t="str">
        <f>IF(Tilmeldingsoversigt!$F$8="x",hovedret," ")</f>
        <v>Hovedret</v>
      </c>
      <c r="I166" s="69">
        <f ca="1">IF(H166=hovedret,Tilmeldingsoversigt!$C$16," ")</f>
        <v>55.016393442622949</v>
      </c>
      <c r="J166" s="68"/>
      <c r="K166" s="69"/>
      <c r="L166" s="68"/>
      <c r="M166" s="69"/>
      <c r="N166" s="87"/>
      <c r="O166" s="88"/>
      <c r="P166" s="66"/>
    </row>
    <row r="167" spans="2:16" x14ac:dyDescent="0.25">
      <c r="B167" s="68" t="str">
        <f>IF(Tilmeldingsoversigt!$C$9="x",Aftensmad," ")</f>
        <v>Aftensmad</v>
      </c>
      <c r="C167" s="69">
        <f ca="1">IF(B167=Aftensmad,Tilmeldingsoversigt!$C$17," ")</f>
        <v>27.540983606557376</v>
      </c>
      <c r="D167" s="68" t="str">
        <f>IF(Tilmeldingsoversigt!$D$9="x",Aftensmad," ")</f>
        <v>Aftensmad</v>
      </c>
      <c r="E167" s="69">
        <f ca="1">IF(D167=Aftensmad,Tilmeldingsoversigt!$C$17," ")</f>
        <v>27.540983606557376</v>
      </c>
      <c r="F167" s="68" t="str">
        <f>IF(Tilmeldingsoversigt!$E$9="x",Aftensmad," ")</f>
        <v>Aftensmad</v>
      </c>
      <c r="G167" s="69">
        <f ca="1">IF(F167=Aftensmad,Tilmeldingsoversigt!$C$17," ")</f>
        <v>27.540983606557376</v>
      </c>
      <c r="H167" s="68" t="str">
        <f>IF(Tilmeldingsoversigt!$F$9="x",Aftensmad," ")</f>
        <v>Aftensmad</v>
      </c>
      <c r="I167" s="69">
        <f ca="1">IF(H167=Aftensmad,Tilmeldingsoversigt!$C$17," ")</f>
        <v>27.540983606557376</v>
      </c>
      <c r="J167" s="68"/>
      <c r="K167" s="69"/>
      <c r="L167" s="68"/>
      <c r="M167" s="69"/>
      <c r="N167" s="87"/>
      <c r="O167" s="88"/>
      <c r="P167" s="66"/>
    </row>
    <row r="168" spans="2:16" x14ac:dyDescent="0.25">
      <c r="B168" s="68" t="str">
        <f>IF(Tilmeldingsoversigt!$C$10="x",biret," ")</f>
        <v>Biret</v>
      </c>
      <c r="C168" s="69">
        <f>IF(B168=biret,biretpris," ")</f>
        <v>0</v>
      </c>
      <c r="D168" s="68" t="str">
        <f>IF(Tilmeldingsoversigt!$D$10="x",biret," ")</f>
        <v>Biret</v>
      </c>
      <c r="E168" s="69">
        <f>IF(D168=biret,biretpris," ")</f>
        <v>0</v>
      </c>
      <c r="F168" s="68" t="str">
        <f>IF(Tilmeldingsoversigt!$E$10="x",biret," ")</f>
        <v>Biret</v>
      </c>
      <c r="G168" s="69">
        <f>IF(F168=biret,biretpris," ")</f>
        <v>0</v>
      </c>
      <c r="H168" s="68" t="str">
        <f>IF(Tilmeldingsoversigt!$F$10="x",biret," ")</f>
        <v>Biret</v>
      </c>
      <c r="I168" s="69">
        <f>IF(H168=biret,biretpris," ")</f>
        <v>0</v>
      </c>
      <c r="J168" s="68"/>
      <c r="K168" s="70"/>
      <c r="L168" s="68"/>
      <c r="M168" s="69"/>
      <c r="N168" s="68"/>
      <c r="O168" s="70"/>
      <c r="P168" s="66"/>
    </row>
    <row r="169" spans="2:16" x14ac:dyDescent="0.25">
      <c r="B169" s="71" t="str">
        <f>IF(Tilmeldingsoversigt!$C$11="x",mellemmåltid," ")</f>
        <v xml:space="preserve"> </v>
      </c>
      <c r="C169" s="69" t="str">
        <f>IF(B169=mellemmåltid,mellemmåltidspris," ")</f>
        <v xml:space="preserve"> </v>
      </c>
      <c r="D169" s="71" t="str">
        <f>IF(Tilmeldingsoversigt!$C$11="x",mellemmåltid," ")</f>
        <v xml:space="preserve"> </v>
      </c>
      <c r="E169" s="72" t="str">
        <f>IF(D169=mellemmåltid,mellemmåltidspris," ")</f>
        <v xml:space="preserve"> </v>
      </c>
      <c r="F169" s="71" t="str">
        <f>IF(Tilmeldingsoversigt!$C$11="x",mellemmåltid," ")</f>
        <v xml:space="preserve"> </v>
      </c>
      <c r="G169" s="72" t="str">
        <f>IF(F169=mellemmåltid,mellemmåltidspris," ")</f>
        <v xml:space="preserve"> </v>
      </c>
      <c r="H169" s="71" t="str">
        <f>IF(Tilmeldingsoversigt!$C$11="x",mellemmåltid," ")</f>
        <v xml:space="preserve"> </v>
      </c>
      <c r="I169" s="72" t="str">
        <f>IF(H169=mellemmåltid,mellemmåltidspris," ")</f>
        <v xml:space="preserve"> </v>
      </c>
      <c r="J169" s="71"/>
      <c r="K169" s="73"/>
      <c r="L169" s="71"/>
      <c r="M169" s="72"/>
      <c r="N169" s="71"/>
      <c r="O169" s="73"/>
      <c r="P169" s="66"/>
    </row>
    <row r="170" spans="2:16" x14ac:dyDescent="0.25">
      <c r="B170" s="74" t="s">
        <v>44</v>
      </c>
      <c r="C170" s="11">
        <f ca="1">SUM(C165:C169)</f>
        <v>99.311475409836063</v>
      </c>
      <c r="D170" s="74"/>
      <c r="E170" s="11">
        <f ca="1">SUM(E165:E169)</f>
        <v>99.311475409836063</v>
      </c>
      <c r="F170" s="74"/>
      <c r="G170" s="11">
        <f ca="1">SUM(G165:G169)</f>
        <v>99.311475409836063</v>
      </c>
      <c r="H170" s="74"/>
      <c r="I170" s="11">
        <f ca="1">SUM(I165:I169)</f>
        <v>99.311475409836063</v>
      </c>
      <c r="J170" s="74"/>
      <c r="K170" s="11">
        <f>SUM(K165:K169)</f>
        <v>0</v>
      </c>
      <c r="L170" s="74"/>
      <c r="M170" s="11">
        <f>SUM(M165:M169)</f>
        <v>0</v>
      </c>
      <c r="N170" s="74"/>
      <c r="O170" s="12">
        <f>SUM(O165:O169)</f>
        <v>0</v>
      </c>
      <c r="P170" s="75">
        <f ca="1">SUMIF(B163:N163,"&gt;="&amp;15,C170:O170)</f>
        <v>397.24590163934425</v>
      </c>
    </row>
    <row r="171" spans="2:16" x14ac:dyDescent="0.2">
      <c r="B171" s="76"/>
      <c r="C171" s="77"/>
      <c r="D171" s="77"/>
      <c r="E171" s="77"/>
      <c r="F171" s="77"/>
      <c r="G171" s="77"/>
      <c r="H171" s="77"/>
      <c r="I171" s="77"/>
      <c r="J171" s="77"/>
      <c r="K171" s="77"/>
      <c r="L171" s="77"/>
      <c r="M171" s="77"/>
      <c r="N171" s="77"/>
      <c r="O171" s="77"/>
      <c r="P171" s="76"/>
    </row>
    <row r="172" spans="2:16" ht="12.75" x14ac:dyDescent="0.25">
      <c r="B172" s="78">
        <f>DAY(IF(DAY(MarSøn1)=1,MarSøn1+29,MarSøn1+36))</f>
        <v>1</v>
      </c>
      <c r="C172" s="91"/>
      <c r="D172" s="78">
        <f>DAY(IF(DAY(MarSøn1)=1,MarSøn1+30,MarSøn1+37))</f>
        <v>2</v>
      </c>
      <c r="E172" s="79"/>
      <c r="F172" s="92">
        <f>DAY(IF(DAY(MarSøn1)=1,MarSøn1+31,MarSøn1+38))</f>
        <v>3</v>
      </c>
      <c r="G172" s="79"/>
      <c r="H172" s="78">
        <f>DAY(IF(DAY(MarSøn1)=1,MarSøn1+32,MarSøn1+39))</f>
        <v>4</v>
      </c>
      <c r="I172" s="79"/>
      <c r="J172" s="78">
        <f>DAY(IF(DAY(MarSøn1)=1,MarSøn1+33,MarSøn1+40))</f>
        <v>5</v>
      </c>
      <c r="K172" s="79"/>
      <c r="L172" s="78">
        <f>DAY(IF(DAY(MarSøn1)=1,MarSøn1+34,MarSøn1+41))</f>
        <v>6</v>
      </c>
      <c r="M172" s="79"/>
      <c r="N172" s="78">
        <f>DAY(IF(DAY(MarSøn1)=1,MarSøn1+35,MarSøn1+42))</f>
        <v>7</v>
      </c>
      <c r="O172" s="79"/>
      <c r="P172" s="85"/>
    </row>
    <row r="173" spans="2:16" x14ac:dyDescent="0.25">
      <c r="B173" s="64" t="s">
        <v>42</v>
      </c>
      <c r="C173" s="81" t="s">
        <v>43</v>
      </c>
      <c r="D173" s="64" t="s">
        <v>42</v>
      </c>
      <c r="E173" s="81" t="s">
        <v>43</v>
      </c>
      <c r="F173" s="64" t="s">
        <v>42</v>
      </c>
      <c r="G173" s="81" t="s">
        <v>43</v>
      </c>
      <c r="H173" s="64" t="s">
        <v>42</v>
      </c>
      <c r="I173" s="81" t="s">
        <v>43</v>
      </c>
      <c r="J173" s="64" t="s">
        <v>42</v>
      </c>
      <c r="K173" s="81" t="s">
        <v>43</v>
      </c>
      <c r="L173" s="64" t="s">
        <v>42</v>
      </c>
      <c r="M173" s="81" t="s">
        <v>43</v>
      </c>
      <c r="N173" s="64" t="s">
        <v>42</v>
      </c>
      <c r="O173" s="82" t="s">
        <v>43</v>
      </c>
      <c r="P173" s="66"/>
    </row>
    <row r="174" spans="2:16" x14ac:dyDescent="0.25">
      <c r="B174" s="136"/>
      <c r="C174" s="67"/>
      <c r="D174" s="136"/>
      <c r="E174" s="67"/>
      <c r="F174" s="136"/>
      <c r="G174" s="67"/>
      <c r="H174" s="136"/>
      <c r="I174" s="67"/>
      <c r="J174" s="136"/>
      <c r="K174" s="67"/>
      <c r="L174" s="136"/>
      <c r="M174" s="67"/>
      <c r="N174" s="136"/>
      <c r="O174" s="83"/>
      <c r="P174" s="66"/>
    </row>
    <row r="175" spans="2:16" x14ac:dyDescent="0.25">
      <c r="B175" s="68"/>
      <c r="C175" s="69"/>
      <c r="D175" s="68"/>
      <c r="E175" s="69"/>
      <c r="F175" s="68"/>
      <c r="G175" s="69"/>
      <c r="H175" s="68"/>
      <c r="I175" s="69"/>
      <c r="J175" s="68"/>
      <c r="K175" s="69"/>
      <c r="L175" s="68"/>
      <c r="M175" s="69"/>
      <c r="N175" s="68"/>
      <c r="O175" s="70"/>
      <c r="P175" s="66"/>
    </row>
    <row r="176" spans="2:16" x14ac:dyDescent="0.25">
      <c r="B176" s="68"/>
      <c r="C176" s="69"/>
      <c r="D176" s="68"/>
      <c r="E176" s="69"/>
      <c r="F176" s="68"/>
      <c r="G176" s="69"/>
      <c r="H176" s="68"/>
      <c r="I176" s="69"/>
      <c r="J176" s="68"/>
      <c r="K176" s="69"/>
      <c r="L176" s="68"/>
      <c r="M176" s="69"/>
      <c r="N176" s="68"/>
      <c r="O176" s="70"/>
      <c r="P176" s="66"/>
    </row>
    <row r="177" spans="2:16" x14ac:dyDescent="0.25">
      <c r="B177" s="68"/>
      <c r="C177" s="69"/>
      <c r="D177" s="68"/>
      <c r="E177" s="69"/>
      <c r="F177" s="68"/>
      <c r="G177" s="69"/>
      <c r="H177" s="68"/>
      <c r="I177" s="69"/>
      <c r="J177" s="68"/>
      <c r="K177" s="69"/>
      <c r="L177" s="68"/>
      <c r="M177" s="69"/>
      <c r="N177" s="68"/>
      <c r="O177" s="70"/>
      <c r="P177" s="66"/>
    </row>
    <row r="178" spans="2:16" x14ac:dyDescent="0.25">
      <c r="B178" s="71"/>
      <c r="C178" s="69"/>
      <c r="D178" s="71"/>
      <c r="E178" s="72"/>
      <c r="F178" s="71"/>
      <c r="G178" s="72"/>
      <c r="H178" s="71"/>
      <c r="I178" s="72"/>
      <c r="J178" s="71"/>
      <c r="K178" s="72"/>
      <c r="L178" s="71"/>
      <c r="M178" s="72"/>
      <c r="N178" s="71"/>
      <c r="O178" s="73"/>
      <c r="P178" s="66"/>
    </row>
    <row r="179" spans="2:16" x14ac:dyDescent="0.25">
      <c r="B179" s="74" t="s">
        <v>44</v>
      </c>
      <c r="C179" s="11">
        <f>SUM(C174:C178)</f>
        <v>0</v>
      </c>
      <c r="D179" s="74"/>
      <c r="E179" s="11">
        <f>SUM(E174:E178)</f>
        <v>0</v>
      </c>
      <c r="F179" s="74"/>
      <c r="G179" s="11">
        <f>SUM(G174:G178)</f>
        <v>0</v>
      </c>
      <c r="H179" s="74"/>
      <c r="I179" s="11">
        <f>SUM(I174:I178)</f>
        <v>0</v>
      </c>
      <c r="J179" s="74"/>
      <c r="K179" s="11">
        <f>SUM(K174:K178)</f>
        <v>0</v>
      </c>
      <c r="L179" s="74"/>
      <c r="M179" s="11">
        <f>SUM(M174:M178)</f>
        <v>0</v>
      </c>
      <c r="N179" s="74"/>
      <c r="O179" s="12">
        <f>SUM(O174:O178)</f>
        <v>0</v>
      </c>
      <c r="P179" s="75">
        <f>SUMIF(B172:N172,"&gt;="&amp;15,C179:O179)</f>
        <v>0</v>
      </c>
    </row>
    <row r="180" spans="2:16" ht="17.25" customHeight="1" x14ac:dyDescent="0.2"/>
    <row r="181" spans="2:16" ht="12" x14ac:dyDescent="0.2">
      <c r="B181" s="246" t="s">
        <v>47</v>
      </c>
      <c r="C181" s="246"/>
      <c r="D181" s="246"/>
      <c r="E181" s="246"/>
      <c r="F181" s="49"/>
      <c r="G181" s="132">
        <f ca="1">Tilmeldingsoversigt!$E$15-(30-'Tilmeldte måltider'!G182)*Morgenpris</f>
        <v>511</v>
      </c>
      <c r="H181" s="49"/>
      <c r="I181" s="132">
        <f ca="1">Tilmeldingsoversigt!$E$16-(30-'Tilmeldte måltider'!I182)*Frokostpris</f>
        <v>1678</v>
      </c>
      <c r="J181" s="49"/>
      <c r="K181" s="132">
        <f ca="1">Tilmeldingsoversigt!$E$17-(30-'Tilmeldte måltider'!K182)*Aftenpris</f>
        <v>840</v>
      </c>
      <c r="L181" s="247" t="s">
        <v>32</v>
      </c>
      <c r="M181" s="247"/>
      <c r="N181" s="247" t="s">
        <v>33</v>
      </c>
      <c r="O181" s="247"/>
      <c r="P181" s="49"/>
    </row>
    <row r="182" spans="2:16" ht="25.5" customHeight="1" x14ac:dyDescent="0.25">
      <c r="B182" s="246"/>
      <c r="C182" s="246"/>
      <c r="D182" s="246"/>
      <c r="E182" s="246"/>
      <c r="F182" s="97" t="str">
        <f>Morgenmad</f>
        <v>Morgenmad</v>
      </c>
      <c r="G182" s="97">
        <f ca="1">IF(L183=FALSE,0,(COUNTIF(B188:O229,Morgenmad)))</f>
        <v>30</v>
      </c>
      <c r="H182" s="97" t="str">
        <f>hovedret</f>
        <v>Hovedret</v>
      </c>
      <c r="I182" s="97">
        <f ca="1">IF(L183=FALSE,0,(COUNTIF($B$188:$O$229,hovedret)))</f>
        <v>30</v>
      </c>
      <c r="J182" s="97" t="str">
        <f>Aftensmad</f>
        <v>Aftensmad</v>
      </c>
      <c r="K182" s="97">
        <f ca="1">IF(L183=FALSE,0,(COUNTIF(B188:O237,Aftensmad)))</f>
        <v>30</v>
      </c>
      <c r="L182" s="248">
        <f ca="1">IF(april_sum=0,0,månedligtotal)</f>
        <v>3000</v>
      </c>
      <c r="M182" s="249"/>
      <c r="N182" s="248">
        <f ca="1">hovedtotal</f>
        <v>36000.409836065577</v>
      </c>
      <c r="O182" s="250"/>
      <c r="P182" s="49"/>
    </row>
    <row r="183" spans="2:16" ht="25.5" customHeight="1" x14ac:dyDescent="0.45">
      <c r="B183" s="121"/>
      <c r="C183" s="121"/>
      <c r="D183" s="121"/>
      <c r="E183" s="121"/>
      <c r="F183" s="98" t="str">
        <f>biret</f>
        <v>Biret</v>
      </c>
      <c r="G183" s="97">
        <f ca="1">IF(april_sum=0,0,(COUNTIF($B$189:$O$238,biret)))</f>
        <v>30</v>
      </c>
      <c r="H183" s="98" t="str">
        <f>mellemmåltid</f>
        <v>Mellemmåltid</v>
      </c>
      <c r="I183" s="97">
        <f ca="1">IF(april_sum=0,0,(COUNTIF($B$189:$O$238,mellemmåltid)))</f>
        <v>0</v>
      </c>
      <c r="J183" s="98"/>
      <c r="K183" s="98"/>
      <c r="L183" s="243" t="b">
        <f>IF(AND(L184,N184)=TRUE,TRUE,FALSE)</f>
        <v>1</v>
      </c>
      <c r="M183" s="244"/>
      <c r="N183" s="137">
        <f ca="1">G181+I181+K181</f>
        <v>3029</v>
      </c>
      <c r="O183" s="137"/>
      <c r="P183" s="49"/>
    </row>
    <row r="184" spans="2:16" ht="25.5" hidden="1" customHeight="1" x14ac:dyDescent="0.45">
      <c r="B184" s="121"/>
      <c r="C184" s="121"/>
      <c r="D184" s="121"/>
      <c r="E184" s="121"/>
      <c r="F184" s="138"/>
      <c r="G184" s="138"/>
      <c r="H184" s="138"/>
      <c r="I184" s="138"/>
      <c r="J184" s="138"/>
      <c r="K184" s="138"/>
      <c r="L184" s="242" t="b">
        <f>IF(OR(VLOOKUP(start_måned,Dataark!$C$5:$D$16,2,FALSE)&lt;=4,$L$124=TRUE),TRUE,FALSE)</f>
        <v>1</v>
      </c>
      <c r="M184" s="242"/>
      <c r="N184" s="242" t="b">
        <f>IF(AND(VLOOKUP(slut_måned,Dataark!$C$5:$D$16,2,FALSE)&gt;=4,L184=TRUE),TRUE,FALSE)</f>
        <v>1</v>
      </c>
      <c r="O184" s="242"/>
      <c r="P184" s="49"/>
    </row>
    <row r="185" spans="2:16" ht="9" customHeight="1" x14ac:dyDescent="0.2">
      <c r="B185" s="251">
        <v>1</v>
      </c>
      <c r="C185" s="251"/>
      <c r="D185" s="251">
        <v>2</v>
      </c>
      <c r="E185" s="251"/>
      <c r="F185" s="251">
        <v>3</v>
      </c>
      <c r="G185" s="251"/>
      <c r="H185" s="251">
        <v>4</v>
      </c>
      <c r="I185" s="251"/>
      <c r="J185" s="251">
        <v>5</v>
      </c>
      <c r="K185" s="251"/>
      <c r="L185" s="251">
        <v>6</v>
      </c>
      <c r="M185" s="251"/>
      <c r="N185" s="251">
        <v>7</v>
      </c>
      <c r="O185" s="251"/>
      <c r="P185" s="135">
        <f ca="1">IF(L183=TRUE,(N183),0)</f>
        <v>3029</v>
      </c>
    </row>
    <row r="186" spans="2:16" ht="15" customHeight="1" x14ac:dyDescent="0.25">
      <c r="B186" s="252" t="s">
        <v>34</v>
      </c>
      <c r="C186" s="253"/>
      <c r="D186" s="254" t="s">
        <v>35</v>
      </c>
      <c r="E186" s="255" t="e">
        <f>IF(WEEKDAY(DATEVALUE(Month1&amp;" 1, "&amp;Year1))=COLUMN(#REF!),1,IF(LEN(C186)&gt;0,C186+1,""))</f>
        <v>#NAME?</v>
      </c>
      <c r="F186" s="253" t="s">
        <v>36</v>
      </c>
      <c r="G186" s="253" t="e">
        <f>IF(WEEKDAY(DATEVALUE(Month1&amp;" 1, "&amp;Year1))=COLUMN(#REF!),1,IF(LEN(E186)&gt;0,E186+1,""))</f>
        <v>#NAME?</v>
      </c>
      <c r="H186" s="254" t="s">
        <v>37</v>
      </c>
      <c r="I186" s="255" t="e">
        <f>IF(WEEKDAY(DATEVALUE(Month1&amp;" 1, "&amp;Year1))=COLUMN(#REF!),1,IF(LEN(G186)&gt;0,G186+1,""))</f>
        <v>#NAME?</v>
      </c>
      <c r="J186" s="256" t="s">
        <v>38</v>
      </c>
      <c r="K186" s="257" t="e">
        <f>IF(WEEKDAY(DATEVALUE(Month1&amp;" 1, "&amp;Year1))=COLUMN(#REF!),1,IF(LEN(I186)&gt;0,I186+1,""))</f>
        <v>#NAME?</v>
      </c>
      <c r="L186" s="258" t="s">
        <v>39</v>
      </c>
      <c r="M186" s="259" t="e">
        <f>IF(WEEKDAY(DATEVALUE(Month1&amp;" 1, "&amp;Year1))=COLUMN(#REF!),1,IF(LEN(K186)&gt;0,K186+1,""))</f>
        <v>#NAME?</v>
      </c>
      <c r="N186" s="258" t="s">
        <v>40</v>
      </c>
      <c r="O186" s="259" t="e">
        <f>IF(WEEKDAY(DATEVALUE(Month1&amp;" 1, "&amp;Year1))=COLUMN(#REF!),1,IF(LEN(M186)&gt;0,M186+1,""))</f>
        <v>#NAME?</v>
      </c>
      <c r="P186" s="53" t="s">
        <v>41</v>
      </c>
    </row>
    <row r="187" spans="2:16" ht="12.75" x14ac:dyDescent="0.25">
      <c r="B187" s="55">
        <f>DAY(IF(DAY(AprSøn1)=1,AprSøn1-6,AprSøn1+1))</f>
        <v>1</v>
      </c>
      <c r="C187" s="56"/>
      <c r="D187" s="57">
        <f>DAY(IF(DAY(AprSøn1)=1,AprSøn1-5,AprSøn1+2))</f>
        <v>2</v>
      </c>
      <c r="E187" s="56"/>
      <c r="F187" s="57">
        <f>DAY(IF(DAY(AprSøn1)=1,AprSøn1-4,AprSøn1+3))</f>
        <v>3</v>
      </c>
      <c r="G187" s="56"/>
      <c r="H187" s="57">
        <f>DAY(IF(DAY(AprSøn1)=1,AprSøn1-3,AprSøn1+4))</f>
        <v>4</v>
      </c>
      <c r="I187" s="56"/>
      <c r="J187" s="57">
        <f>DAY(IF(DAY(AprSøn1)=1,AprSøn1-2,AprSøn1+5))</f>
        <v>5</v>
      </c>
      <c r="K187" s="56"/>
      <c r="L187" s="57">
        <f>DAY(IF(DAY(AprSøn1)=1,AprSøn1-1,AprSøn1+6))</f>
        <v>6</v>
      </c>
      <c r="M187" s="56"/>
      <c r="N187" s="58">
        <f>DAY(IF(DAY(AprSøn1)=1,AprSøn1,AprSøn1+7))</f>
        <v>7</v>
      </c>
      <c r="O187" s="59"/>
      <c r="P187" s="60"/>
    </row>
    <row r="188" spans="2:16" x14ac:dyDescent="0.25">
      <c r="B188" s="61" t="s">
        <v>42</v>
      </c>
      <c r="C188" s="62" t="s">
        <v>43</v>
      </c>
      <c r="D188" s="63" t="s">
        <v>42</v>
      </c>
      <c r="E188" s="62" t="s">
        <v>43</v>
      </c>
      <c r="F188" s="63" t="s">
        <v>42</v>
      </c>
      <c r="G188" s="62" t="s">
        <v>43</v>
      </c>
      <c r="H188" s="63" t="s">
        <v>42</v>
      </c>
      <c r="I188" s="62" t="s">
        <v>43</v>
      </c>
      <c r="J188" s="63" t="s">
        <v>42</v>
      </c>
      <c r="K188" s="62" t="s">
        <v>43</v>
      </c>
      <c r="L188" s="63" t="s">
        <v>42</v>
      </c>
      <c r="M188" s="62" t="s">
        <v>43</v>
      </c>
      <c r="N188" s="64" t="s">
        <v>42</v>
      </c>
      <c r="O188" s="65" t="s">
        <v>43</v>
      </c>
      <c r="P188" s="66"/>
    </row>
    <row r="189" spans="2:16" x14ac:dyDescent="0.25">
      <c r="B189" s="136"/>
      <c r="C189" s="67"/>
      <c r="D189" s="136"/>
      <c r="E189" s="67"/>
      <c r="F189" s="136"/>
      <c r="G189" s="67"/>
      <c r="H189" s="136"/>
      <c r="I189" s="67"/>
      <c r="J189" s="136" t="str">
        <f>IF(Tilmeldingsoversigt!$G$7="x",Morgenmad," ")</f>
        <v>Morgenmad</v>
      </c>
      <c r="K189" s="67">
        <f ca="1">IF(J189=Morgenmad,Tilmeldingsoversigt!$C$15," ")</f>
        <v>16.754098360655739</v>
      </c>
      <c r="L189" s="136" t="str">
        <f>IF(Tilmeldingsoversigt!$H$7="x",Morgenmad," ")</f>
        <v>Morgenmad</v>
      </c>
      <c r="M189" s="67">
        <f ca="1">IF(L189=Morgenmad,Tilmeldingsoversigt!$C$15," ")</f>
        <v>16.754098360655739</v>
      </c>
      <c r="N189" s="136" t="str">
        <f>IF(Tilmeldingsoversigt!$I$7="x",Morgenmad," ")</f>
        <v>Morgenmad</v>
      </c>
      <c r="O189" s="83">
        <f ca="1">IF(N189=Morgenmad,Tilmeldingsoversigt!$C$15," ")</f>
        <v>16.754098360655739</v>
      </c>
      <c r="P189" s="66"/>
    </row>
    <row r="190" spans="2:16" x14ac:dyDescent="0.25">
      <c r="B190" s="68"/>
      <c r="C190" s="69"/>
      <c r="D190" s="68"/>
      <c r="E190" s="69"/>
      <c r="F190" s="68"/>
      <c r="G190" s="69"/>
      <c r="H190" s="68"/>
      <c r="I190" s="69"/>
      <c r="J190" s="68" t="str">
        <f>IF(Tilmeldingsoversigt!$G$8="x",hovedret," ")</f>
        <v>Hovedret</v>
      </c>
      <c r="K190" s="69">
        <f ca="1">IF(J190=hovedret,Tilmeldingsoversigt!$C$16," ")</f>
        <v>55.016393442622949</v>
      </c>
      <c r="L190" s="68" t="str">
        <f>IF(Tilmeldingsoversigt!$H$8="x",hovedret," ")</f>
        <v>Hovedret</v>
      </c>
      <c r="M190" s="69">
        <f ca="1">IF(L190=hovedret,Tilmeldingsoversigt!$C$16," ")</f>
        <v>55.016393442622949</v>
      </c>
      <c r="N190" s="68" t="str">
        <f>IF(Tilmeldingsoversigt!$I$8="x",hovedret," ")</f>
        <v>Hovedret</v>
      </c>
      <c r="O190" s="70">
        <f ca="1">IF(N190=hovedret,Tilmeldingsoversigt!$C$16," ")</f>
        <v>55.016393442622949</v>
      </c>
      <c r="P190" s="66"/>
    </row>
    <row r="191" spans="2:16" x14ac:dyDescent="0.25">
      <c r="B191" s="68"/>
      <c r="C191" s="69"/>
      <c r="D191" s="68"/>
      <c r="E191" s="69"/>
      <c r="F191" s="68"/>
      <c r="G191" s="69"/>
      <c r="H191" s="68"/>
      <c r="I191" s="69"/>
      <c r="J191" s="68" t="str">
        <f>IF(Tilmeldingsoversigt!$G$9="x",Aftensmad," ")</f>
        <v>Aftensmad</v>
      </c>
      <c r="K191" s="69">
        <f ca="1">IF(J191=Aftensmad,Tilmeldingsoversigt!$C$17," ")</f>
        <v>27.540983606557376</v>
      </c>
      <c r="L191" s="68" t="str">
        <f>IF(Tilmeldingsoversigt!$H$9="x",Aftensmad," ")</f>
        <v>Aftensmad</v>
      </c>
      <c r="M191" s="69">
        <f ca="1">IF(L191=Aftensmad,Tilmeldingsoversigt!$C$17," ")</f>
        <v>27.540983606557376</v>
      </c>
      <c r="N191" s="68" t="str">
        <f>IF(Tilmeldingsoversigt!$I$9="x",Aftensmad," ")</f>
        <v>Aftensmad</v>
      </c>
      <c r="O191" s="70">
        <f ca="1">IF(N191=Aftensmad,Tilmeldingsoversigt!$C$17," ")</f>
        <v>27.540983606557376</v>
      </c>
      <c r="P191" s="66"/>
    </row>
    <row r="192" spans="2:16" x14ac:dyDescent="0.25">
      <c r="B192" s="68"/>
      <c r="C192" s="69"/>
      <c r="D192" s="68"/>
      <c r="E192" s="69"/>
      <c r="F192" s="68"/>
      <c r="G192" s="69"/>
      <c r="H192" s="68"/>
      <c r="I192" s="69"/>
      <c r="J192" s="68" t="str">
        <f>IF(Tilmeldingsoversigt!$G$10="x",biret," ")</f>
        <v>Biret</v>
      </c>
      <c r="K192" s="70">
        <f>IF(J192=biret,biretpris," ")</f>
        <v>0</v>
      </c>
      <c r="L192" s="68" t="str">
        <f>IF(Tilmeldingsoversigt!$H$10="x",biret," ")</f>
        <v>Biret</v>
      </c>
      <c r="M192" s="69">
        <f>IF(L192=biret,biretpris," ")</f>
        <v>0</v>
      </c>
      <c r="N192" s="68" t="str">
        <f>IF(Tilmeldingsoversigt!$I$10="x",biret," ")</f>
        <v>Biret</v>
      </c>
      <c r="O192" s="70">
        <f>IF(N192=biret,biretpris," ")</f>
        <v>0</v>
      </c>
      <c r="P192" s="66"/>
    </row>
    <row r="193" spans="2:16" x14ac:dyDescent="0.25">
      <c r="B193" s="71"/>
      <c r="C193" s="72"/>
      <c r="D193" s="71"/>
      <c r="E193" s="72"/>
      <c r="F193" s="71"/>
      <c r="G193" s="72"/>
      <c r="H193" s="71"/>
      <c r="I193" s="72"/>
      <c r="J193" s="71" t="str">
        <f>IF(Tilmeldingsoversigt!$C$11="x",mellemmåltid," ")</f>
        <v xml:space="preserve"> </v>
      </c>
      <c r="K193" s="73" t="str">
        <f>IF(J193=mellemmåltid,mellemmåltidspris," ")</f>
        <v xml:space="preserve"> </v>
      </c>
      <c r="L193" s="71" t="str">
        <f>IF(Tilmeldingsoversigt!$C$11="x",mellemmåltid," ")</f>
        <v xml:space="preserve"> </v>
      </c>
      <c r="M193" s="72" t="str">
        <f>IF(L193=mellemmåltid,mellemmåltidspris," ")</f>
        <v xml:space="preserve"> </v>
      </c>
      <c r="N193" s="71" t="str">
        <f>IF(Tilmeldingsoversigt!$C$11="x",mellemmåltid," ")</f>
        <v xml:space="preserve"> </v>
      </c>
      <c r="O193" s="73" t="str">
        <f>IF(N193=mellemmåltid,mellemmåltidspris," ")</f>
        <v xml:space="preserve"> </v>
      </c>
      <c r="P193" s="66"/>
    </row>
    <row r="194" spans="2:16" x14ac:dyDescent="0.25">
      <c r="B194" s="74" t="s">
        <v>44</v>
      </c>
      <c r="C194" s="11">
        <f>SUM(C189:C193)</f>
        <v>0</v>
      </c>
      <c r="D194" s="74"/>
      <c r="E194" s="11">
        <f>SUM(E189:E193)</f>
        <v>0</v>
      </c>
      <c r="F194" s="74"/>
      <c r="G194" s="11">
        <f>SUM(G189:G193)</f>
        <v>0</v>
      </c>
      <c r="H194" s="74"/>
      <c r="I194" s="11">
        <f>SUM(I189:I193)</f>
        <v>0</v>
      </c>
      <c r="J194" s="74"/>
      <c r="K194" s="11">
        <f ca="1">SUM(K189:K193)</f>
        <v>99.311475409836063</v>
      </c>
      <c r="L194" s="74"/>
      <c r="M194" s="11">
        <f ca="1">SUM(M189:M193)</f>
        <v>99.311475409836063</v>
      </c>
      <c r="N194" s="74"/>
      <c r="O194" s="12">
        <f ca="1">SUM(O189:O193)</f>
        <v>99.311475409836063</v>
      </c>
      <c r="P194" s="75">
        <f ca="1">SUMIF(B187:N187,"&lt;8",C194:O194)</f>
        <v>297.93442622950818</v>
      </c>
    </row>
    <row r="195" spans="2:16" x14ac:dyDescent="0.2">
      <c r="B195" s="76"/>
      <c r="C195" s="77"/>
      <c r="D195" s="77"/>
      <c r="E195" s="77"/>
      <c r="F195" s="77"/>
      <c r="G195" s="77"/>
      <c r="H195" s="77"/>
      <c r="I195" s="77"/>
      <c r="J195" s="77"/>
      <c r="K195" s="77"/>
      <c r="L195" s="77"/>
      <c r="M195" s="77"/>
      <c r="N195" s="77"/>
      <c r="O195" s="77"/>
      <c r="P195" s="76"/>
    </row>
    <row r="196" spans="2:16" ht="12.75" x14ac:dyDescent="0.25">
      <c r="B196" s="78">
        <f>N187+1</f>
        <v>8</v>
      </c>
      <c r="C196" s="79"/>
      <c r="D196" s="78">
        <f>B196+1</f>
        <v>9</v>
      </c>
      <c r="E196" s="79"/>
      <c r="F196" s="78">
        <f>D196+1</f>
        <v>10</v>
      </c>
      <c r="G196" s="79"/>
      <c r="H196" s="78">
        <f>F196+1</f>
        <v>11</v>
      </c>
      <c r="I196" s="79"/>
      <c r="J196" s="78">
        <f>H196+1</f>
        <v>12</v>
      </c>
      <c r="K196" s="79"/>
      <c r="L196" s="78">
        <f>J196+1</f>
        <v>13</v>
      </c>
      <c r="M196" s="79"/>
      <c r="N196" s="78">
        <f>L196+1</f>
        <v>14</v>
      </c>
      <c r="O196" s="79"/>
      <c r="P196" s="80"/>
    </row>
    <row r="197" spans="2:16" x14ac:dyDescent="0.25">
      <c r="B197" s="64" t="s">
        <v>42</v>
      </c>
      <c r="C197" s="81" t="s">
        <v>43</v>
      </c>
      <c r="D197" s="64" t="s">
        <v>42</v>
      </c>
      <c r="E197" s="81" t="s">
        <v>43</v>
      </c>
      <c r="F197" s="64" t="s">
        <v>42</v>
      </c>
      <c r="G197" s="81" t="s">
        <v>43</v>
      </c>
      <c r="H197" s="64" t="s">
        <v>42</v>
      </c>
      <c r="I197" s="81" t="s">
        <v>43</v>
      </c>
      <c r="J197" s="64" t="s">
        <v>42</v>
      </c>
      <c r="K197" s="81" t="s">
        <v>43</v>
      </c>
      <c r="L197" s="64" t="s">
        <v>42</v>
      </c>
      <c r="M197" s="81" t="s">
        <v>43</v>
      </c>
      <c r="N197" s="64" t="s">
        <v>42</v>
      </c>
      <c r="O197" s="82" t="s">
        <v>43</v>
      </c>
      <c r="P197" s="66"/>
    </row>
    <row r="198" spans="2:16" x14ac:dyDescent="0.25">
      <c r="B198" s="136" t="str">
        <f>IF(Tilmeldingsoversigt!$C$7="x",Morgenmad," ")</f>
        <v>Morgenmad</v>
      </c>
      <c r="C198" s="67">
        <f ca="1">IF(B198=Morgenmad,Tilmeldingsoversigt!$C$15," ")</f>
        <v>16.754098360655739</v>
      </c>
      <c r="D198" s="136" t="str">
        <f>IF(Tilmeldingsoversigt!$D$7="x",Morgenmad," ")</f>
        <v>Morgenmad</v>
      </c>
      <c r="E198" s="67">
        <f ca="1">IF(D198=Morgenmad,Tilmeldingsoversigt!$C$15," ")</f>
        <v>16.754098360655739</v>
      </c>
      <c r="F198" s="136" t="str">
        <f>IF(Tilmeldingsoversigt!$E$7="x",Morgenmad," ")</f>
        <v>Morgenmad</v>
      </c>
      <c r="G198" s="67">
        <f ca="1">IF(F198=Morgenmad,Tilmeldingsoversigt!$C$15," ")</f>
        <v>16.754098360655739</v>
      </c>
      <c r="H198" s="136" t="str">
        <f>IF(Tilmeldingsoversigt!$F$7="x",Morgenmad," ")</f>
        <v>Morgenmad</v>
      </c>
      <c r="I198" s="67">
        <f ca="1">IF(H198=Morgenmad,Tilmeldingsoversigt!$C$15," ")</f>
        <v>16.754098360655739</v>
      </c>
      <c r="J198" s="136" t="str">
        <f>IF(Tilmeldingsoversigt!$G$7="x",Morgenmad," ")</f>
        <v>Morgenmad</v>
      </c>
      <c r="K198" s="67">
        <f ca="1">IF(J198=Morgenmad,Tilmeldingsoversigt!$C$15," ")</f>
        <v>16.754098360655739</v>
      </c>
      <c r="L198" s="136" t="str">
        <f>IF(Tilmeldingsoversigt!$H$7="x",Morgenmad," ")</f>
        <v>Morgenmad</v>
      </c>
      <c r="M198" s="67">
        <f ca="1">IF(L198=Morgenmad,Tilmeldingsoversigt!$C$15," ")</f>
        <v>16.754098360655739</v>
      </c>
      <c r="N198" s="136" t="str">
        <f>IF(Tilmeldingsoversigt!$I$7="x",Morgenmad," ")</f>
        <v>Morgenmad</v>
      </c>
      <c r="O198" s="83">
        <f ca="1">IF(N198=Morgenmad,Tilmeldingsoversigt!$C$15," ")</f>
        <v>16.754098360655739</v>
      </c>
      <c r="P198" s="66"/>
    </row>
    <row r="199" spans="2:16" x14ac:dyDescent="0.25">
      <c r="B199" s="68" t="str">
        <f>IF(Tilmeldingsoversigt!$C$8="x",hovedret," ")</f>
        <v>Hovedret</v>
      </c>
      <c r="C199" s="69">
        <f ca="1">IF(B199=hovedret,Tilmeldingsoversigt!$C$16," ")</f>
        <v>55.016393442622949</v>
      </c>
      <c r="D199" s="68" t="str">
        <f>IF(Tilmeldingsoversigt!$D$8="x",hovedret," ")</f>
        <v>Hovedret</v>
      </c>
      <c r="E199" s="69">
        <f ca="1">IF(D199=hovedret,Tilmeldingsoversigt!$C$16," ")</f>
        <v>55.016393442622949</v>
      </c>
      <c r="F199" s="68" t="str">
        <f>IF(Tilmeldingsoversigt!$E$8="x",hovedret," ")</f>
        <v>Hovedret</v>
      </c>
      <c r="G199" s="69">
        <f ca="1">IF(F199=hovedret,Tilmeldingsoversigt!$C$16," ")</f>
        <v>55.016393442622949</v>
      </c>
      <c r="H199" s="68" t="str">
        <f>IF(Tilmeldingsoversigt!$F$8="x",hovedret," ")</f>
        <v>Hovedret</v>
      </c>
      <c r="I199" s="69">
        <f ca="1">IF(H199=hovedret,Tilmeldingsoversigt!$C$16," ")</f>
        <v>55.016393442622949</v>
      </c>
      <c r="J199" s="68" t="str">
        <f>IF(Tilmeldingsoversigt!$G$8="x",hovedret," ")</f>
        <v>Hovedret</v>
      </c>
      <c r="K199" s="69">
        <f ca="1">IF(J199=hovedret,Tilmeldingsoversigt!$C$16," ")</f>
        <v>55.016393442622949</v>
      </c>
      <c r="L199" s="68" t="str">
        <f>IF(Tilmeldingsoversigt!$H$8="x",hovedret," ")</f>
        <v>Hovedret</v>
      </c>
      <c r="M199" s="69">
        <f ca="1">IF(L199=hovedret,Tilmeldingsoversigt!$C$16," ")</f>
        <v>55.016393442622949</v>
      </c>
      <c r="N199" s="68" t="str">
        <f>IF(Tilmeldingsoversigt!$I$8="x",hovedret," ")</f>
        <v>Hovedret</v>
      </c>
      <c r="O199" s="70">
        <f ca="1">IF(N199=hovedret,Tilmeldingsoversigt!$C$16," ")</f>
        <v>55.016393442622949</v>
      </c>
      <c r="P199" s="66"/>
    </row>
    <row r="200" spans="2:16" x14ac:dyDescent="0.25">
      <c r="B200" s="68" t="str">
        <f>IF(Tilmeldingsoversigt!$C$9="x",Aftensmad," ")</f>
        <v>Aftensmad</v>
      </c>
      <c r="C200" s="69">
        <f ca="1">IF(B200=Aftensmad,Tilmeldingsoversigt!$C$17," ")</f>
        <v>27.540983606557376</v>
      </c>
      <c r="D200" s="68" t="str">
        <f>IF(Tilmeldingsoversigt!$D$9="x",Aftensmad," ")</f>
        <v>Aftensmad</v>
      </c>
      <c r="E200" s="69">
        <f ca="1">IF(D200=Aftensmad,Tilmeldingsoversigt!$C$17," ")</f>
        <v>27.540983606557376</v>
      </c>
      <c r="F200" s="68" t="str">
        <f>IF(Tilmeldingsoversigt!$E$9="x",Aftensmad," ")</f>
        <v>Aftensmad</v>
      </c>
      <c r="G200" s="69">
        <f ca="1">IF(F200=Aftensmad,Tilmeldingsoversigt!$C$17," ")</f>
        <v>27.540983606557376</v>
      </c>
      <c r="H200" s="68" t="str">
        <f>IF(Tilmeldingsoversigt!$F$9="x",Aftensmad," ")</f>
        <v>Aftensmad</v>
      </c>
      <c r="I200" s="69">
        <f ca="1">IF(H200=Aftensmad,Tilmeldingsoversigt!$C$17," ")</f>
        <v>27.540983606557376</v>
      </c>
      <c r="J200" s="68" t="str">
        <f>IF(Tilmeldingsoversigt!$G$9="x",Aftensmad," ")</f>
        <v>Aftensmad</v>
      </c>
      <c r="K200" s="69">
        <f ca="1">IF(J200=Aftensmad,Tilmeldingsoversigt!$C$17," ")</f>
        <v>27.540983606557376</v>
      </c>
      <c r="L200" s="68" t="str">
        <f>IF(Tilmeldingsoversigt!$H$9="x",Aftensmad," ")</f>
        <v>Aftensmad</v>
      </c>
      <c r="M200" s="69">
        <f ca="1">IF(L200=Aftensmad,Tilmeldingsoversigt!$C$17," ")</f>
        <v>27.540983606557376</v>
      </c>
      <c r="N200" s="68" t="str">
        <f>IF(Tilmeldingsoversigt!$I$9="x",Aftensmad," ")</f>
        <v>Aftensmad</v>
      </c>
      <c r="O200" s="70">
        <f ca="1">IF(N200=Aftensmad,Tilmeldingsoversigt!$C$17," ")</f>
        <v>27.540983606557376</v>
      </c>
      <c r="P200" s="66"/>
    </row>
    <row r="201" spans="2:16" x14ac:dyDescent="0.25">
      <c r="B201" s="68" t="str">
        <f>IF(Tilmeldingsoversigt!$C$10="x",biret," ")</f>
        <v>Biret</v>
      </c>
      <c r="C201" s="69">
        <f>IF(B201=biret,biretpris," ")</f>
        <v>0</v>
      </c>
      <c r="D201" s="68" t="str">
        <f>IF(Tilmeldingsoversigt!$D$10="x",biret," ")</f>
        <v>Biret</v>
      </c>
      <c r="E201" s="69">
        <f>IF(D201=biret,biretpris," ")</f>
        <v>0</v>
      </c>
      <c r="F201" s="68" t="str">
        <f>IF(Tilmeldingsoversigt!$E$10="x",biret," ")</f>
        <v>Biret</v>
      </c>
      <c r="G201" s="69">
        <f>IF(F201=biret,biretpris," ")</f>
        <v>0</v>
      </c>
      <c r="H201" s="68" t="str">
        <f>IF(Tilmeldingsoversigt!$F$10="x",biret," ")</f>
        <v>Biret</v>
      </c>
      <c r="I201" s="69">
        <f>IF(H201=biret,biretpris," ")</f>
        <v>0</v>
      </c>
      <c r="J201" s="68" t="str">
        <f>IF(Tilmeldingsoversigt!$G$10="x",biret," ")</f>
        <v>Biret</v>
      </c>
      <c r="K201" s="70">
        <f>IF(J201=biret,biretpris," ")</f>
        <v>0</v>
      </c>
      <c r="L201" s="68" t="str">
        <f>IF(Tilmeldingsoversigt!$H$10="x",biret," ")</f>
        <v>Biret</v>
      </c>
      <c r="M201" s="69">
        <f>IF(L201=biret,biretpris," ")</f>
        <v>0</v>
      </c>
      <c r="N201" s="68" t="str">
        <f>IF(Tilmeldingsoversigt!$I$10="x",biret," ")</f>
        <v>Biret</v>
      </c>
      <c r="O201" s="70">
        <f>IF(N201=biret,biretpris," ")</f>
        <v>0</v>
      </c>
      <c r="P201" s="66"/>
    </row>
    <row r="202" spans="2:16" x14ac:dyDescent="0.25">
      <c r="B202" s="71" t="str">
        <f>IF(Tilmeldingsoversigt!$C$11="x",mellemmåltid," ")</f>
        <v xml:space="preserve"> </v>
      </c>
      <c r="C202" s="69" t="str">
        <f>IF(B202=mellemmåltid,mellemmåltidspris," ")</f>
        <v xml:space="preserve"> </v>
      </c>
      <c r="D202" s="71" t="str">
        <f>IF(Tilmeldingsoversigt!$C$11="x",mellemmåltid," ")</f>
        <v xml:space="preserve"> </v>
      </c>
      <c r="E202" s="72" t="str">
        <f>IF(D202=mellemmåltid,mellemmåltidspris," ")</f>
        <v xml:space="preserve"> </v>
      </c>
      <c r="F202" s="71" t="str">
        <f>IF(Tilmeldingsoversigt!$C$11="x",mellemmåltid," ")</f>
        <v xml:space="preserve"> </v>
      </c>
      <c r="G202" s="72" t="str">
        <f>IF(F202=mellemmåltid,mellemmåltidspris," ")</f>
        <v xml:space="preserve"> </v>
      </c>
      <c r="H202" s="71" t="str">
        <f>IF(Tilmeldingsoversigt!$C$11="x",mellemmåltid," ")</f>
        <v xml:space="preserve"> </v>
      </c>
      <c r="I202" s="72" t="str">
        <f>IF(H202=mellemmåltid,mellemmåltidspris," ")</f>
        <v xml:space="preserve"> </v>
      </c>
      <c r="J202" s="71" t="str">
        <f>IF(Tilmeldingsoversigt!$C$11="x",mellemmåltid," ")</f>
        <v xml:space="preserve"> </v>
      </c>
      <c r="K202" s="73" t="str">
        <f>IF(J202=mellemmåltid,mellemmåltidspris," ")</f>
        <v xml:space="preserve"> </v>
      </c>
      <c r="L202" s="71" t="str">
        <f>IF(Tilmeldingsoversigt!$C$11="x",mellemmåltid," ")</f>
        <v xml:space="preserve"> </v>
      </c>
      <c r="M202" s="72" t="str">
        <f>IF(L202=mellemmåltid,mellemmåltidspris," ")</f>
        <v xml:space="preserve"> </v>
      </c>
      <c r="N202" s="71" t="str">
        <f>IF(Tilmeldingsoversigt!$C$11="x",mellemmåltid," ")</f>
        <v xml:space="preserve"> </v>
      </c>
      <c r="O202" s="73" t="str">
        <f>IF(N202=mellemmåltid,mellemmåltidspris," ")</f>
        <v xml:space="preserve"> </v>
      </c>
      <c r="P202" s="66"/>
    </row>
    <row r="203" spans="2:16" x14ac:dyDescent="0.25">
      <c r="B203" s="74" t="s">
        <v>44</v>
      </c>
      <c r="C203" s="11">
        <f ca="1">SUM(C198:C202)</f>
        <v>99.311475409836063</v>
      </c>
      <c r="D203" s="74"/>
      <c r="E203" s="11">
        <f ca="1">SUM(E198:E202)</f>
        <v>99.311475409836063</v>
      </c>
      <c r="F203" s="74"/>
      <c r="G203" s="11">
        <f ca="1">SUM(G198:G202)</f>
        <v>99.311475409836063</v>
      </c>
      <c r="H203" s="74"/>
      <c r="I203" s="11">
        <f ca="1">SUM(I198:I202)</f>
        <v>99.311475409836063</v>
      </c>
      <c r="J203" s="74"/>
      <c r="K203" s="11">
        <f ca="1">SUM(K198:K202)</f>
        <v>99.311475409836063</v>
      </c>
      <c r="L203" s="74"/>
      <c r="M203" s="11">
        <f ca="1">SUM(M198:M202)</f>
        <v>99.311475409836063</v>
      </c>
      <c r="N203" s="74"/>
      <c r="O203" s="12">
        <f ca="1">SUM(O198:O202)</f>
        <v>99.311475409836063</v>
      </c>
      <c r="P203" s="75">
        <f ca="1">SUM(C203,E203,G203,I203,K203,M203,O203)</f>
        <v>695.18032786885237</v>
      </c>
    </row>
    <row r="204" spans="2:16" x14ac:dyDescent="0.2">
      <c r="B204" s="76"/>
      <c r="C204" s="77"/>
      <c r="D204" s="77"/>
      <c r="E204" s="77"/>
      <c r="F204" s="77"/>
      <c r="G204" s="77"/>
      <c r="H204" s="77"/>
      <c r="I204" s="77"/>
      <c r="J204" s="77"/>
      <c r="K204" s="77"/>
      <c r="L204" s="77"/>
      <c r="M204" s="77"/>
      <c r="N204" s="77"/>
      <c r="O204" s="77"/>
      <c r="P204" s="76"/>
    </row>
    <row r="205" spans="2:16" ht="12.75" x14ac:dyDescent="0.25">
      <c r="B205" s="78">
        <f>N196+1</f>
        <v>15</v>
      </c>
      <c r="C205" s="79"/>
      <c r="D205" s="78">
        <f>B205+1</f>
        <v>16</v>
      </c>
      <c r="E205" s="79"/>
      <c r="F205" s="78">
        <f>D205+1</f>
        <v>17</v>
      </c>
      <c r="G205" s="79"/>
      <c r="H205" s="78">
        <f>F205+1</f>
        <v>18</v>
      </c>
      <c r="I205" s="79"/>
      <c r="J205" s="78">
        <f>H205+1</f>
        <v>19</v>
      </c>
      <c r="K205" s="79"/>
      <c r="L205" s="78">
        <f>J205+1</f>
        <v>20</v>
      </c>
      <c r="M205" s="79"/>
      <c r="N205" s="78">
        <f>L205+1</f>
        <v>21</v>
      </c>
      <c r="O205" s="79"/>
      <c r="P205" s="80"/>
    </row>
    <row r="206" spans="2:16" x14ac:dyDescent="0.25">
      <c r="B206" s="64" t="s">
        <v>42</v>
      </c>
      <c r="C206" s="81" t="s">
        <v>43</v>
      </c>
      <c r="D206" s="64" t="s">
        <v>42</v>
      </c>
      <c r="E206" s="81" t="s">
        <v>43</v>
      </c>
      <c r="F206" s="64" t="s">
        <v>42</v>
      </c>
      <c r="G206" s="81" t="s">
        <v>43</v>
      </c>
      <c r="H206" s="64" t="s">
        <v>42</v>
      </c>
      <c r="I206" s="81" t="s">
        <v>43</v>
      </c>
      <c r="J206" s="64" t="s">
        <v>42</v>
      </c>
      <c r="K206" s="81" t="s">
        <v>43</v>
      </c>
      <c r="L206" s="64" t="s">
        <v>42</v>
      </c>
      <c r="M206" s="81" t="s">
        <v>43</v>
      </c>
      <c r="N206" s="64" t="s">
        <v>42</v>
      </c>
      <c r="O206" s="82" t="s">
        <v>43</v>
      </c>
      <c r="P206" s="66"/>
    </row>
    <row r="207" spans="2:16" x14ac:dyDescent="0.25">
      <c r="B207" s="136" t="str">
        <f>IF(Tilmeldingsoversigt!$C$7="x",Morgenmad," ")</f>
        <v>Morgenmad</v>
      </c>
      <c r="C207" s="67">
        <f ca="1">IF(B207=Morgenmad,Tilmeldingsoversigt!$C$15," ")</f>
        <v>16.754098360655739</v>
      </c>
      <c r="D207" s="136" t="str">
        <f>IF(Tilmeldingsoversigt!$D$7="x",Morgenmad," ")</f>
        <v>Morgenmad</v>
      </c>
      <c r="E207" s="67">
        <f ca="1">IF(D207=Morgenmad,Tilmeldingsoversigt!$C$15," ")</f>
        <v>16.754098360655739</v>
      </c>
      <c r="F207" s="136" t="str">
        <f>IF(Tilmeldingsoversigt!$E$7="x",Morgenmad," ")</f>
        <v>Morgenmad</v>
      </c>
      <c r="G207" s="67">
        <f ca="1">IF(F207=Morgenmad,Tilmeldingsoversigt!$C$15," ")</f>
        <v>16.754098360655739</v>
      </c>
      <c r="H207" s="136" t="str">
        <f>IF(Tilmeldingsoversigt!$F$7="x",Morgenmad," ")</f>
        <v>Morgenmad</v>
      </c>
      <c r="I207" s="67">
        <f ca="1">IF(H207=Morgenmad,Tilmeldingsoversigt!$C$15," ")</f>
        <v>16.754098360655739</v>
      </c>
      <c r="J207" s="136" t="str">
        <f>IF(Tilmeldingsoversigt!$G$7="x",Morgenmad," ")</f>
        <v>Morgenmad</v>
      </c>
      <c r="K207" s="67">
        <f ca="1">IF(J207=Morgenmad,Tilmeldingsoversigt!$C$15," ")</f>
        <v>16.754098360655739</v>
      </c>
      <c r="L207" s="136" t="str">
        <f>IF(Tilmeldingsoversigt!$H$7="x",Morgenmad," ")</f>
        <v>Morgenmad</v>
      </c>
      <c r="M207" s="67">
        <f ca="1">IF(L207=Morgenmad,Tilmeldingsoversigt!$C$15," ")</f>
        <v>16.754098360655739</v>
      </c>
      <c r="N207" s="136" t="str">
        <f>IF(Tilmeldingsoversigt!$I$7="x",Morgenmad," ")</f>
        <v>Morgenmad</v>
      </c>
      <c r="O207" s="83">
        <f ca="1">IF(N207=Morgenmad,Tilmeldingsoversigt!$C$15," ")</f>
        <v>16.754098360655739</v>
      </c>
      <c r="P207" s="66"/>
    </row>
    <row r="208" spans="2:16" x14ac:dyDescent="0.25">
      <c r="B208" s="68" t="str">
        <f>IF(Tilmeldingsoversigt!$C$8="x",hovedret," ")</f>
        <v>Hovedret</v>
      </c>
      <c r="C208" s="69">
        <f ca="1">IF(B208=hovedret,Tilmeldingsoversigt!$C$16," ")</f>
        <v>55.016393442622949</v>
      </c>
      <c r="D208" s="68" t="str">
        <f>IF(Tilmeldingsoversigt!$D$8="x",hovedret," ")</f>
        <v>Hovedret</v>
      </c>
      <c r="E208" s="69">
        <f ca="1">IF(D208=hovedret,Tilmeldingsoversigt!$C$16," ")</f>
        <v>55.016393442622949</v>
      </c>
      <c r="F208" s="68" t="str">
        <f>IF(Tilmeldingsoversigt!$E$8="x",hovedret," ")</f>
        <v>Hovedret</v>
      </c>
      <c r="G208" s="69">
        <f ca="1">IF(F208=hovedret,Tilmeldingsoversigt!$C$16," ")</f>
        <v>55.016393442622949</v>
      </c>
      <c r="H208" s="68" t="str">
        <f>IF(Tilmeldingsoversigt!$F$8="x",hovedret," ")</f>
        <v>Hovedret</v>
      </c>
      <c r="I208" s="69">
        <f ca="1">IF(H208=hovedret,Tilmeldingsoversigt!$C$16," ")</f>
        <v>55.016393442622949</v>
      </c>
      <c r="J208" s="68" t="str">
        <f>IF(Tilmeldingsoversigt!$G$8="x",hovedret," ")</f>
        <v>Hovedret</v>
      </c>
      <c r="K208" s="69">
        <f ca="1">IF(J208=hovedret,Tilmeldingsoversigt!$C$16," ")</f>
        <v>55.016393442622949</v>
      </c>
      <c r="L208" s="68" t="str">
        <f>IF(Tilmeldingsoversigt!$H$8="x",hovedret," ")</f>
        <v>Hovedret</v>
      </c>
      <c r="M208" s="69">
        <f ca="1">IF(L208=hovedret,Tilmeldingsoversigt!$C$16," ")</f>
        <v>55.016393442622949</v>
      </c>
      <c r="N208" s="68" t="str">
        <f>IF(Tilmeldingsoversigt!$I$8="x",hovedret," ")</f>
        <v>Hovedret</v>
      </c>
      <c r="O208" s="70">
        <f ca="1">IF(N208=hovedret,Tilmeldingsoversigt!$C$16," ")</f>
        <v>55.016393442622949</v>
      </c>
      <c r="P208" s="66"/>
    </row>
    <row r="209" spans="2:16" x14ac:dyDescent="0.25">
      <c r="B209" s="68" t="str">
        <f>IF(Tilmeldingsoversigt!$C$9="x",Aftensmad," ")</f>
        <v>Aftensmad</v>
      </c>
      <c r="C209" s="69">
        <f ca="1">IF(B209=Aftensmad,Tilmeldingsoversigt!$C$17," ")</f>
        <v>27.540983606557376</v>
      </c>
      <c r="D209" s="68" t="str">
        <f>IF(Tilmeldingsoversigt!$D$9="x",Aftensmad," ")</f>
        <v>Aftensmad</v>
      </c>
      <c r="E209" s="69">
        <f ca="1">IF(D209=Aftensmad,Tilmeldingsoversigt!$C$17," ")</f>
        <v>27.540983606557376</v>
      </c>
      <c r="F209" s="68" t="str">
        <f>IF(Tilmeldingsoversigt!$E$9="x",Aftensmad," ")</f>
        <v>Aftensmad</v>
      </c>
      <c r="G209" s="69">
        <f ca="1">IF(F209=Aftensmad,Tilmeldingsoversigt!$C$17," ")</f>
        <v>27.540983606557376</v>
      </c>
      <c r="H209" s="68" t="str">
        <f>IF(Tilmeldingsoversigt!$F$9="x",Aftensmad," ")</f>
        <v>Aftensmad</v>
      </c>
      <c r="I209" s="69">
        <f ca="1">IF(H209=Aftensmad,Tilmeldingsoversigt!$C$17," ")</f>
        <v>27.540983606557376</v>
      </c>
      <c r="J209" s="68" t="str">
        <f>IF(Tilmeldingsoversigt!$G$9="x",Aftensmad," ")</f>
        <v>Aftensmad</v>
      </c>
      <c r="K209" s="69">
        <f ca="1">IF(J209=Aftensmad,Tilmeldingsoversigt!$C$17," ")</f>
        <v>27.540983606557376</v>
      </c>
      <c r="L209" s="68" t="str">
        <f>IF(Tilmeldingsoversigt!$H$9="x",Aftensmad," ")</f>
        <v>Aftensmad</v>
      </c>
      <c r="M209" s="69">
        <f ca="1">IF(L209=Aftensmad,Tilmeldingsoversigt!$C$17," ")</f>
        <v>27.540983606557376</v>
      </c>
      <c r="N209" s="68" t="str">
        <f>IF(Tilmeldingsoversigt!$I$9="x",Aftensmad," ")</f>
        <v>Aftensmad</v>
      </c>
      <c r="O209" s="70">
        <f ca="1">IF(N209=Aftensmad,Tilmeldingsoversigt!$C$17," ")</f>
        <v>27.540983606557376</v>
      </c>
      <c r="P209" s="66"/>
    </row>
    <row r="210" spans="2:16" x14ac:dyDescent="0.25">
      <c r="B210" s="68" t="str">
        <f>IF(Tilmeldingsoversigt!$C$10="x",biret," ")</f>
        <v>Biret</v>
      </c>
      <c r="C210" s="69">
        <f>IF(B210=biret,biretpris," ")</f>
        <v>0</v>
      </c>
      <c r="D210" s="68" t="str">
        <f>IF(Tilmeldingsoversigt!$D$10="x",biret," ")</f>
        <v>Biret</v>
      </c>
      <c r="E210" s="69">
        <f>IF(D210=biret,biretpris," ")</f>
        <v>0</v>
      </c>
      <c r="F210" s="68" t="str">
        <f>IF(Tilmeldingsoversigt!$E$10="x",biret," ")</f>
        <v>Biret</v>
      </c>
      <c r="G210" s="69">
        <f>IF(F210=biret,biretpris," ")</f>
        <v>0</v>
      </c>
      <c r="H210" s="68" t="str">
        <f>IF(Tilmeldingsoversigt!$F$10="x",biret," ")</f>
        <v>Biret</v>
      </c>
      <c r="I210" s="69">
        <f>IF(H210=biret,biretpris," ")</f>
        <v>0</v>
      </c>
      <c r="J210" s="68" t="str">
        <f>IF(Tilmeldingsoversigt!$G$10="x",biret," ")</f>
        <v>Biret</v>
      </c>
      <c r="K210" s="70">
        <f>IF(J210=biret,biretpris," ")</f>
        <v>0</v>
      </c>
      <c r="L210" s="68" t="str">
        <f>IF(Tilmeldingsoversigt!$H$10="x",biret," ")</f>
        <v>Biret</v>
      </c>
      <c r="M210" s="69">
        <f>IF(L210=biret,biretpris," ")</f>
        <v>0</v>
      </c>
      <c r="N210" s="68" t="str">
        <f>IF(Tilmeldingsoversigt!$I$10="x",biret," ")</f>
        <v>Biret</v>
      </c>
      <c r="O210" s="70">
        <f>IF(N210=biret,biretpris," ")</f>
        <v>0</v>
      </c>
      <c r="P210" s="66"/>
    </row>
    <row r="211" spans="2:16" x14ac:dyDescent="0.25">
      <c r="B211" s="71" t="str">
        <f>IF(Tilmeldingsoversigt!$C$11="x",mellemmåltid," ")</f>
        <v xml:space="preserve"> </v>
      </c>
      <c r="C211" s="69" t="str">
        <f>IF(B211=mellemmåltid,mellemmåltidspris," ")</f>
        <v xml:space="preserve"> </v>
      </c>
      <c r="D211" s="71" t="str">
        <f>IF(Tilmeldingsoversigt!$C$11="x",mellemmåltid," ")</f>
        <v xml:space="preserve"> </v>
      </c>
      <c r="E211" s="72" t="str">
        <f>IF(D211=mellemmåltid,mellemmåltidspris," ")</f>
        <v xml:space="preserve"> </v>
      </c>
      <c r="F211" s="71" t="str">
        <f>IF(Tilmeldingsoversigt!$C$11="x",mellemmåltid," ")</f>
        <v xml:space="preserve"> </v>
      </c>
      <c r="G211" s="72" t="str">
        <f>IF(F211=mellemmåltid,mellemmåltidspris," ")</f>
        <v xml:space="preserve"> </v>
      </c>
      <c r="H211" s="71" t="str">
        <f>IF(Tilmeldingsoversigt!$C$11="x",mellemmåltid," ")</f>
        <v xml:space="preserve"> </v>
      </c>
      <c r="I211" s="72" t="str">
        <f>IF(H211=mellemmåltid,mellemmåltidspris," ")</f>
        <v xml:space="preserve"> </v>
      </c>
      <c r="J211" s="71" t="str">
        <f>IF(Tilmeldingsoversigt!$C$11="x",mellemmåltid," ")</f>
        <v xml:space="preserve"> </v>
      </c>
      <c r="K211" s="73" t="str">
        <f>IF(J211=mellemmåltid,mellemmåltidspris," ")</f>
        <v xml:space="preserve"> </v>
      </c>
      <c r="L211" s="71" t="str">
        <f>IF(Tilmeldingsoversigt!$C$11="x",mellemmåltid," ")</f>
        <v xml:space="preserve"> </v>
      </c>
      <c r="M211" s="72" t="str">
        <f>IF(L211=mellemmåltid,mellemmåltidspris," ")</f>
        <v xml:space="preserve"> </v>
      </c>
      <c r="N211" s="71" t="str">
        <f>IF(Tilmeldingsoversigt!$C$11="x",mellemmåltid," ")</f>
        <v xml:space="preserve"> </v>
      </c>
      <c r="O211" s="73" t="str">
        <f>IF(N211=mellemmåltid,mellemmåltidspris," ")</f>
        <v xml:space="preserve"> </v>
      </c>
      <c r="P211" s="66"/>
    </row>
    <row r="212" spans="2:16" x14ac:dyDescent="0.25">
      <c r="B212" s="84" t="s">
        <v>44</v>
      </c>
      <c r="C212" s="11">
        <f ca="1">SUM(C207:C211)</f>
        <v>99.311475409836063</v>
      </c>
      <c r="D212" s="74"/>
      <c r="E212" s="11">
        <f ca="1">SUM(E207:E211)</f>
        <v>99.311475409836063</v>
      </c>
      <c r="F212" s="74"/>
      <c r="G212" s="11">
        <f ca="1">SUM(G207:G211)</f>
        <v>99.311475409836063</v>
      </c>
      <c r="H212" s="74"/>
      <c r="I212" s="11">
        <f ca="1">SUM(I207:I211)</f>
        <v>99.311475409836063</v>
      </c>
      <c r="J212" s="74"/>
      <c r="K212" s="11">
        <f ca="1">SUM(K207:K211)</f>
        <v>99.311475409836063</v>
      </c>
      <c r="L212" s="74"/>
      <c r="M212" s="11">
        <f ca="1">SUM(M207:M211)</f>
        <v>99.311475409836063</v>
      </c>
      <c r="N212" s="74"/>
      <c r="O212" s="12">
        <f ca="1">SUM(O207:O211)</f>
        <v>99.311475409836063</v>
      </c>
      <c r="P212" s="75">
        <f ca="1">SUM(C212,E212,G212,I212,K212,M212,O212)</f>
        <v>695.18032786885237</v>
      </c>
    </row>
    <row r="213" spans="2:16" x14ac:dyDescent="0.2">
      <c r="B213" s="76"/>
      <c r="C213" s="77"/>
      <c r="D213" s="77"/>
      <c r="E213" s="77"/>
      <c r="F213" s="77"/>
      <c r="G213" s="77"/>
      <c r="H213" s="77"/>
      <c r="I213" s="77"/>
      <c r="J213" s="77"/>
      <c r="K213" s="77"/>
      <c r="L213" s="77"/>
      <c r="M213" s="77"/>
      <c r="N213" s="77"/>
      <c r="O213" s="77"/>
      <c r="P213" s="76"/>
    </row>
    <row r="214" spans="2:16" ht="12.75" x14ac:dyDescent="0.25">
      <c r="B214" s="78">
        <f>N205+1</f>
        <v>22</v>
      </c>
      <c r="C214" s="79"/>
      <c r="D214" s="78">
        <f>B214+1</f>
        <v>23</v>
      </c>
      <c r="E214" s="79"/>
      <c r="F214" s="78">
        <f>D214+1</f>
        <v>24</v>
      </c>
      <c r="G214" s="79"/>
      <c r="H214" s="78">
        <f>F214+1</f>
        <v>25</v>
      </c>
      <c r="I214" s="79"/>
      <c r="J214" s="78">
        <f>H214+1</f>
        <v>26</v>
      </c>
      <c r="K214" s="79"/>
      <c r="L214" s="78">
        <f>J214+1</f>
        <v>27</v>
      </c>
      <c r="M214" s="79"/>
      <c r="N214" s="78">
        <f>L214+1</f>
        <v>28</v>
      </c>
      <c r="O214" s="79"/>
      <c r="P214" s="80"/>
    </row>
    <row r="215" spans="2:16" x14ac:dyDescent="0.25">
      <c r="B215" s="64" t="s">
        <v>42</v>
      </c>
      <c r="C215" s="81" t="s">
        <v>43</v>
      </c>
      <c r="D215" s="64" t="s">
        <v>42</v>
      </c>
      <c r="E215" s="81" t="s">
        <v>43</v>
      </c>
      <c r="F215" s="64" t="s">
        <v>42</v>
      </c>
      <c r="G215" s="81" t="s">
        <v>43</v>
      </c>
      <c r="H215" s="64" t="s">
        <v>42</v>
      </c>
      <c r="I215" s="81" t="s">
        <v>43</v>
      </c>
      <c r="J215" s="64" t="s">
        <v>42</v>
      </c>
      <c r="K215" s="81" t="s">
        <v>43</v>
      </c>
      <c r="L215" s="64" t="s">
        <v>42</v>
      </c>
      <c r="M215" s="81" t="s">
        <v>43</v>
      </c>
      <c r="N215" s="64" t="s">
        <v>42</v>
      </c>
      <c r="O215" s="82" t="s">
        <v>43</v>
      </c>
      <c r="P215" s="66"/>
    </row>
    <row r="216" spans="2:16" x14ac:dyDescent="0.25">
      <c r="B216" s="136" t="str">
        <f>IF(Tilmeldingsoversigt!$C$7="x",Morgenmad," ")</f>
        <v>Morgenmad</v>
      </c>
      <c r="C216" s="67">
        <f ca="1">IF(B216=Morgenmad,Tilmeldingsoversigt!$C$15," ")</f>
        <v>16.754098360655739</v>
      </c>
      <c r="D216" s="136" t="str">
        <f>IF(Tilmeldingsoversigt!$D$7="x",Morgenmad," ")</f>
        <v>Morgenmad</v>
      </c>
      <c r="E216" s="67">
        <f ca="1">IF(D216=Morgenmad,Tilmeldingsoversigt!$C$15," ")</f>
        <v>16.754098360655739</v>
      </c>
      <c r="F216" s="136" t="str">
        <f>IF(Tilmeldingsoversigt!$E$7="x",Morgenmad," ")</f>
        <v>Morgenmad</v>
      </c>
      <c r="G216" s="67">
        <f ca="1">IF(F216=Morgenmad,Tilmeldingsoversigt!$C$15," ")</f>
        <v>16.754098360655739</v>
      </c>
      <c r="H216" s="136" t="str">
        <f>IF(Tilmeldingsoversigt!$F$7="x",Morgenmad," ")</f>
        <v>Morgenmad</v>
      </c>
      <c r="I216" s="67">
        <f ca="1">IF(H216=Morgenmad,Tilmeldingsoversigt!$C$15," ")</f>
        <v>16.754098360655739</v>
      </c>
      <c r="J216" s="136" t="str">
        <f>IF(Tilmeldingsoversigt!$G$7="x",Morgenmad," ")</f>
        <v>Morgenmad</v>
      </c>
      <c r="K216" s="67">
        <f ca="1">IF(J216=Morgenmad,Tilmeldingsoversigt!$C$15," ")</f>
        <v>16.754098360655739</v>
      </c>
      <c r="L216" s="136" t="str">
        <f>IF(Tilmeldingsoversigt!$H$7="x",Morgenmad," ")</f>
        <v>Morgenmad</v>
      </c>
      <c r="M216" s="67">
        <f ca="1">IF(L216=Morgenmad,Tilmeldingsoversigt!$C$15," ")</f>
        <v>16.754098360655739</v>
      </c>
      <c r="N216" s="136" t="str">
        <f>IF(Tilmeldingsoversigt!$I$7="x",Morgenmad," ")</f>
        <v>Morgenmad</v>
      </c>
      <c r="O216" s="83">
        <f ca="1">IF(N216=Morgenmad,Tilmeldingsoversigt!$C$15," ")</f>
        <v>16.754098360655739</v>
      </c>
      <c r="P216" s="66"/>
    </row>
    <row r="217" spans="2:16" x14ac:dyDescent="0.25">
      <c r="B217" s="68" t="str">
        <f>IF(Tilmeldingsoversigt!$C$8="x",hovedret," ")</f>
        <v>Hovedret</v>
      </c>
      <c r="C217" s="69">
        <f ca="1">IF(B217=hovedret,Tilmeldingsoversigt!$C$16," ")</f>
        <v>55.016393442622949</v>
      </c>
      <c r="D217" s="68" t="str">
        <f>IF(Tilmeldingsoversigt!$D$8="x",hovedret," ")</f>
        <v>Hovedret</v>
      </c>
      <c r="E217" s="69">
        <f ca="1">IF(D217=hovedret,Tilmeldingsoversigt!$C$16," ")</f>
        <v>55.016393442622949</v>
      </c>
      <c r="F217" s="68" t="str">
        <f>IF(Tilmeldingsoversigt!$E$8="x",hovedret," ")</f>
        <v>Hovedret</v>
      </c>
      <c r="G217" s="69">
        <f ca="1">IF(F217=hovedret,Tilmeldingsoversigt!$C$16," ")</f>
        <v>55.016393442622949</v>
      </c>
      <c r="H217" s="68" t="str">
        <f>IF(Tilmeldingsoversigt!$F$8="x",hovedret," ")</f>
        <v>Hovedret</v>
      </c>
      <c r="I217" s="69">
        <f ca="1">IF(H217=hovedret,Tilmeldingsoversigt!$C$16," ")</f>
        <v>55.016393442622949</v>
      </c>
      <c r="J217" s="68" t="str">
        <f>IF(Tilmeldingsoversigt!$G$8="x",hovedret," ")</f>
        <v>Hovedret</v>
      </c>
      <c r="K217" s="69">
        <f ca="1">IF(J217=hovedret,Tilmeldingsoversigt!$C$16," ")</f>
        <v>55.016393442622949</v>
      </c>
      <c r="L217" s="68" t="str">
        <f>IF(Tilmeldingsoversigt!$H$8="x",hovedret," ")</f>
        <v>Hovedret</v>
      </c>
      <c r="M217" s="69">
        <f ca="1">IF(L217=hovedret,Tilmeldingsoversigt!$C$16," ")</f>
        <v>55.016393442622949</v>
      </c>
      <c r="N217" s="68" t="str">
        <f>IF(Tilmeldingsoversigt!$I$8="x",hovedret," ")</f>
        <v>Hovedret</v>
      </c>
      <c r="O217" s="70">
        <f ca="1">IF(N217=hovedret,Tilmeldingsoversigt!$C$16," ")</f>
        <v>55.016393442622949</v>
      </c>
      <c r="P217" s="66"/>
    </row>
    <row r="218" spans="2:16" x14ac:dyDescent="0.25">
      <c r="B218" s="68" t="str">
        <f>IF(Tilmeldingsoversigt!$C$9="x",Aftensmad," ")</f>
        <v>Aftensmad</v>
      </c>
      <c r="C218" s="69">
        <f ca="1">IF(B218=Aftensmad,Tilmeldingsoversigt!$C$17," ")</f>
        <v>27.540983606557376</v>
      </c>
      <c r="D218" s="68" t="str">
        <f>IF(Tilmeldingsoversigt!$D$9="x",Aftensmad," ")</f>
        <v>Aftensmad</v>
      </c>
      <c r="E218" s="69">
        <f ca="1">IF(D218=Aftensmad,Tilmeldingsoversigt!$C$17," ")</f>
        <v>27.540983606557376</v>
      </c>
      <c r="F218" s="68" t="str">
        <f>IF(Tilmeldingsoversigt!$E$9="x",Aftensmad," ")</f>
        <v>Aftensmad</v>
      </c>
      <c r="G218" s="69">
        <f ca="1">IF(F218=Aftensmad,Tilmeldingsoversigt!$C$17," ")</f>
        <v>27.540983606557376</v>
      </c>
      <c r="H218" s="68" t="str">
        <f>IF(Tilmeldingsoversigt!$F$9="x",Aftensmad," ")</f>
        <v>Aftensmad</v>
      </c>
      <c r="I218" s="69">
        <f ca="1">IF(H218=Aftensmad,Tilmeldingsoversigt!$C$17," ")</f>
        <v>27.540983606557376</v>
      </c>
      <c r="J218" s="68" t="str">
        <f>IF(Tilmeldingsoversigt!$G$9="x",Aftensmad," ")</f>
        <v>Aftensmad</v>
      </c>
      <c r="K218" s="69">
        <f ca="1">IF(J218=Aftensmad,Tilmeldingsoversigt!$C$17," ")</f>
        <v>27.540983606557376</v>
      </c>
      <c r="L218" s="68" t="str">
        <f>IF(Tilmeldingsoversigt!$H$9="x",Aftensmad," ")</f>
        <v>Aftensmad</v>
      </c>
      <c r="M218" s="69">
        <f ca="1">IF(L218=Aftensmad,Tilmeldingsoversigt!$C$17," ")</f>
        <v>27.540983606557376</v>
      </c>
      <c r="N218" s="68" t="str">
        <f>IF(Tilmeldingsoversigt!$I$9="x",Aftensmad," ")</f>
        <v>Aftensmad</v>
      </c>
      <c r="O218" s="70">
        <f ca="1">IF(N218=Aftensmad,Tilmeldingsoversigt!$C$17," ")</f>
        <v>27.540983606557376</v>
      </c>
      <c r="P218" s="66"/>
    </row>
    <row r="219" spans="2:16" x14ac:dyDescent="0.25">
      <c r="B219" s="68" t="str">
        <f>IF(Tilmeldingsoversigt!$C$10="x",biret," ")</f>
        <v>Biret</v>
      </c>
      <c r="C219" s="69">
        <f>IF(B219=biret,biretpris," ")</f>
        <v>0</v>
      </c>
      <c r="D219" s="68" t="str">
        <f>IF(Tilmeldingsoversigt!$D$10="x",biret," ")</f>
        <v>Biret</v>
      </c>
      <c r="E219" s="69">
        <f>IF(D219=biret,biretpris," ")</f>
        <v>0</v>
      </c>
      <c r="F219" s="68" t="str">
        <f>IF(Tilmeldingsoversigt!$E$10="x",biret," ")</f>
        <v>Biret</v>
      </c>
      <c r="G219" s="69">
        <f>IF(F219=biret,biretpris," ")</f>
        <v>0</v>
      </c>
      <c r="H219" s="68" t="str">
        <f>IF(Tilmeldingsoversigt!$F$10="x",biret," ")</f>
        <v>Biret</v>
      </c>
      <c r="I219" s="69">
        <f>IF(H219=biret,biretpris," ")</f>
        <v>0</v>
      </c>
      <c r="J219" s="68" t="str">
        <f>IF(Tilmeldingsoversigt!$G$10="x",biret," ")</f>
        <v>Biret</v>
      </c>
      <c r="K219" s="70">
        <f>IF(J219=biret,biretpris," ")</f>
        <v>0</v>
      </c>
      <c r="L219" s="68" t="str">
        <f>IF(Tilmeldingsoversigt!$H$10="x",biret," ")</f>
        <v>Biret</v>
      </c>
      <c r="M219" s="69">
        <f>IF(L219=biret,biretpris," ")</f>
        <v>0</v>
      </c>
      <c r="N219" s="68" t="str">
        <f>IF(Tilmeldingsoversigt!$I$10="x",biret," ")</f>
        <v>Biret</v>
      </c>
      <c r="O219" s="70">
        <f>IF(N219=biret,biretpris," ")</f>
        <v>0</v>
      </c>
      <c r="P219" s="66"/>
    </row>
    <row r="220" spans="2:16" x14ac:dyDescent="0.25">
      <c r="B220" s="71" t="str">
        <f>IF(Tilmeldingsoversigt!$C$11="x",mellemmåltid," ")</f>
        <v xml:space="preserve"> </v>
      </c>
      <c r="C220" s="69" t="str">
        <f>IF(B220=mellemmåltid,mellemmåltidspris," ")</f>
        <v xml:space="preserve"> </v>
      </c>
      <c r="D220" s="71" t="str">
        <f>IF(Tilmeldingsoversigt!$C$11="x",mellemmåltid," ")</f>
        <v xml:space="preserve"> </v>
      </c>
      <c r="E220" s="72" t="str">
        <f>IF(D220=mellemmåltid,mellemmåltidspris," ")</f>
        <v xml:space="preserve"> </v>
      </c>
      <c r="F220" s="71" t="str">
        <f>IF(Tilmeldingsoversigt!$C$11="x",mellemmåltid," ")</f>
        <v xml:space="preserve"> </v>
      </c>
      <c r="G220" s="72" t="str">
        <f>IF(F220=mellemmåltid,mellemmåltidspris," ")</f>
        <v xml:space="preserve"> </v>
      </c>
      <c r="H220" s="71" t="str">
        <f>IF(Tilmeldingsoversigt!$C$11="x",mellemmåltid," ")</f>
        <v xml:space="preserve"> </v>
      </c>
      <c r="I220" s="72" t="str">
        <f>IF(H220=mellemmåltid,mellemmåltidspris," ")</f>
        <v xml:space="preserve"> </v>
      </c>
      <c r="J220" s="71" t="str">
        <f>IF(Tilmeldingsoversigt!$C$11="x",mellemmåltid," ")</f>
        <v xml:space="preserve"> </v>
      </c>
      <c r="K220" s="73" t="str">
        <f>IF(J220=mellemmåltid,mellemmåltidspris," ")</f>
        <v xml:space="preserve"> </v>
      </c>
      <c r="L220" s="71" t="str">
        <f>IF(Tilmeldingsoversigt!$C$11="x",mellemmåltid," ")</f>
        <v xml:space="preserve"> </v>
      </c>
      <c r="M220" s="72" t="str">
        <f>IF(L220=mellemmåltid,mellemmåltidspris," ")</f>
        <v xml:space="preserve"> </v>
      </c>
      <c r="N220" s="71" t="str">
        <f>IF(Tilmeldingsoversigt!$C$11="x",mellemmåltid," ")</f>
        <v xml:space="preserve"> </v>
      </c>
      <c r="O220" s="73" t="str">
        <f>IF(N220=mellemmåltid,mellemmåltidspris," ")</f>
        <v xml:space="preserve"> </v>
      </c>
      <c r="P220" s="66"/>
    </row>
    <row r="221" spans="2:16" x14ac:dyDescent="0.25">
      <c r="B221" s="74" t="s">
        <v>44</v>
      </c>
      <c r="C221" s="11">
        <f ca="1">SUM(C216:C220)</f>
        <v>99.311475409836063</v>
      </c>
      <c r="D221" s="74"/>
      <c r="E221" s="11">
        <f ca="1">SUM(E216:E220)</f>
        <v>99.311475409836063</v>
      </c>
      <c r="F221" s="74"/>
      <c r="G221" s="11">
        <f ca="1">SUM(G216:G220)</f>
        <v>99.311475409836063</v>
      </c>
      <c r="H221" s="74"/>
      <c r="I221" s="11">
        <f ca="1">SUM(I216:I220)</f>
        <v>99.311475409836063</v>
      </c>
      <c r="J221" s="74"/>
      <c r="K221" s="11">
        <f ca="1">SUM(K216:K220)</f>
        <v>99.311475409836063</v>
      </c>
      <c r="L221" s="74"/>
      <c r="M221" s="11">
        <f ca="1">SUM(M216:M220)</f>
        <v>99.311475409836063</v>
      </c>
      <c r="N221" s="74"/>
      <c r="O221" s="12">
        <f ca="1">SUM(O216:O220)</f>
        <v>99.311475409836063</v>
      </c>
      <c r="P221" s="75">
        <f ca="1">SUM(C221,E221,G221,I221,K221,M221,O221)</f>
        <v>695.18032786885237</v>
      </c>
    </row>
    <row r="222" spans="2:16" x14ac:dyDescent="0.2">
      <c r="B222" s="76"/>
      <c r="C222" s="77"/>
      <c r="D222" s="77"/>
      <c r="E222" s="77"/>
      <c r="F222" s="77"/>
      <c r="G222" s="77"/>
      <c r="H222" s="77"/>
      <c r="I222" s="77"/>
      <c r="J222" s="77"/>
      <c r="K222" s="77"/>
      <c r="L222" s="77"/>
      <c r="M222" s="77"/>
      <c r="N222" s="77"/>
      <c r="O222" s="77"/>
      <c r="P222" s="76"/>
    </row>
    <row r="223" spans="2:16" ht="12.75" x14ac:dyDescent="0.25">
      <c r="B223" s="78">
        <f>DAY(IF(DAY(AprSøn1)=1,AprSøn1+22,AprSøn1+29))</f>
        <v>29</v>
      </c>
      <c r="C223" s="79"/>
      <c r="D223" s="78">
        <f>DAY(IF(DAY(AprSøn1)=1,AprSøn1+23,AprSøn1+30))</f>
        <v>30</v>
      </c>
      <c r="E223" s="79"/>
      <c r="F223" s="78">
        <f>DAY(IF(DAY(AprSøn1)=1,AprSøn1+24,AprSøn1+31))</f>
        <v>1</v>
      </c>
      <c r="G223" s="79"/>
      <c r="H223" s="78">
        <f>DAY(IF(DAY(AprSøn1)=1,AprSøn1+25,AprSøn1+32))</f>
        <v>2</v>
      </c>
      <c r="I223" s="79"/>
      <c r="J223" s="78">
        <f>DAY(IF(DAY(AprSøn1)=1,AprSøn1+26,AprSøn1+33))</f>
        <v>3</v>
      </c>
      <c r="K223" s="79"/>
      <c r="L223" s="78">
        <f>DAY(IF(DAY(AprSøn1)=1,AprSøn1+27,AprSøn1+34))</f>
        <v>4</v>
      </c>
      <c r="M223" s="79"/>
      <c r="N223" s="78">
        <f>DAY(IF(DAY(AprSøn1)=1,AprSøn1+28,AprSøn1+35))</f>
        <v>5</v>
      </c>
      <c r="O223" s="79"/>
      <c r="P223" s="85"/>
    </row>
    <row r="224" spans="2:16" x14ac:dyDescent="0.25">
      <c r="B224" s="64" t="s">
        <v>42</v>
      </c>
      <c r="C224" s="81" t="s">
        <v>43</v>
      </c>
      <c r="D224" s="64" t="s">
        <v>42</v>
      </c>
      <c r="E224" s="81" t="s">
        <v>43</v>
      </c>
      <c r="F224" s="64" t="s">
        <v>42</v>
      </c>
      <c r="G224" s="81" t="s">
        <v>43</v>
      </c>
      <c r="H224" s="64" t="s">
        <v>42</v>
      </c>
      <c r="I224" s="81" t="s">
        <v>43</v>
      </c>
      <c r="J224" s="64" t="s">
        <v>42</v>
      </c>
      <c r="K224" s="81" t="s">
        <v>43</v>
      </c>
      <c r="L224" s="64" t="s">
        <v>42</v>
      </c>
      <c r="M224" s="81" t="s">
        <v>43</v>
      </c>
      <c r="N224" s="64" t="s">
        <v>42</v>
      </c>
      <c r="O224" s="82" t="s">
        <v>43</v>
      </c>
      <c r="P224" s="66"/>
    </row>
    <row r="225" spans="2:16" x14ac:dyDescent="0.25">
      <c r="B225" s="136" t="str">
        <f>IF(Tilmeldingsoversigt!$C$7="x",Morgenmad," ")</f>
        <v>Morgenmad</v>
      </c>
      <c r="C225" s="67">
        <f ca="1">IF(B225=Morgenmad,Tilmeldingsoversigt!$C$15," ")</f>
        <v>16.754098360655739</v>
      </c>
      <c r="D225" s="136" t="str">
        <f>IF(Tilmeldingsoversigt!$D$7="x",Morgenmad," ")</f>
        <v>Morgenmad</v>
      </c>
      <c r="E225" s="67">
        <f ca="1">IF(D225=Morgenmad,Tilmeldingsoversigt!$C$15," ")</f>
        <v>16.754098360655739</v>
      </c>
      <c r="F225" s="136" t="str">
        <f>IF(Tilmeldingsoversigt!$E$7="x",Morgenmad," ")</f>
        <v>Morgenmad</v>
      </c>
      <c r="G225" s="67">
        <f ca="1">IF(F225=Morgenmad,Tilmeldingsoversigt!$C$15," ")</f>
        <v>16.754098360655739</v>
      </c>
      <c r="H225" s="136" t="str">
        <f>IF(Tilmeldingsoversigt!$F$7="x",Morgenmad," ")</f>
        <v>Morgenmad</v>
      </c>
      <c r="I225" s="67">
        <f ca="1">IF(H225=Morgenmad,Tilmeldingsoversigt!$C$15," ")</f>
        <v>16.754098360655739</v>
      </c>
      <c r="J225" s="136" t="str">
        <f>IF(Tilmeldingsoversigt!$G$7="x",Morgenmad," ")</f>
        <v>Morgenmad</v>
      </c>
      <c r="K225" s="67">
        <f ca="1">IF(J225=Morgenmad,Tilmeldingsoversigt!$C$15," ")</f>
        <v>16.754098360655739</v>
      </c>
      <c r="L225" s="136" t="str">
        <f>IF(Tilmeldingsoversigt!$H$7="x",Morgenmad," ")</f>
        <v>Morgenmad</v>
      </c>
      <c r="M225" s="67">
        <f ca="1">IF(L225=Morgenmad,Tilmeldingsoversigt!$C$15," ")</f>
        <v>16.754098360655739</v>
      </c>
      <c r="N225" s="139"/>
      <c r="O225" s="86"/>
      <c r="P225" s="66"/>
    </row>
    <row r="226" spans="2:16" x14ac:dyDescent="0.25">
      <c r="B226" s="68" t="str">
        <f>IF(Tilmeldingsoversigt!$C$8="x",hovedret," ")</f>
        <v>Hovedret</v>
      </c>
      <c r="C226" s="69">
        <f ca="1">IF(B226=hovedret,Tilmeldingsoversigt!$C$16," ")</f>
        <v>55.016393442622949</v>
      </c>
      <c r="D226" s="68" t="str">
        <f>IF(Tilmeldingsoversigt!$D$8="x",hovedret," ")</f>
        <v>Hovedret</v>
      </c>
      <c r="E226" s="69">
        <f ca="1">IF(D226=hovedret,Tilmeldingsoversigt!$C$16," ")</f>
        <v>55.016393442622949</v>
      </c>
      <c r="F226" s="68" t="str">
        <f>IF(Tilmeldingsoversigt!$E$8="x",hovedret," ")</f>
        <v>Hovedret</v>
      </c>
      <c r="G226" s="69">
        <f ca="1">IF(F226=hovedret,Tilmeldingsoversigt!$C$16," ")</f>
        <v>55.016393442622949</v>
      </c>
      <c r="H226" s="68" t="str">
        <f>IF(Tilmeldingsoversigt!$F$8="x",hovedret," ")</f>
        <v>Hovedret</v>
      </c>
      <c r="I226" s="69">
        <f ca="1">IF(H226=hovedret,Tilmeldingsoversigt!$C$16," ")</f>
        <v>55.016393442622949</v>
      </c>
      <c r="J226" s="68" t="str">
        <f>IF(Tilmeldingsoversigt!$G$8="x",hovedret," ")</f>
        <v>Hovedret</v>
      </c>
      <c r="K226" s="69">
        <f ca="1">IF(J226=hovedret,Tilmeldingsoversigt!$C$16," ")</f>
        <v>55.016393442622949</v>
      </c>
      <c r="L226" s="68" t="str">
        <f>IF(Tilmeldingsoversigt!$H$8="x",hovedret," ")</f>
        <v>Hovedret</v>
      </c>
      <c r="M226" s="69">
        <f ca="1">IF(L226=hovedret,Tilmeldingsoversigt!$C$16," ")</f>
        <v>55.016393442622949</v>
      </c>
      <c r="N226" s="87"/>
      <c r="O226" s="88"/>
      <c r="P226" s="66"/>
    </row>
    <row r="227" spans="2:16" x14ac:dyDescent="0.25">
      <c r="B227" s="68" t="str">
        <f>IF(Tilmeldingsoversigt!$C$9="x",Aftensmad," ")</f>
        <v>Aftensmad</v>
      </c>
      <c r="C227" s="69">
        <f ca="1">IF(B227=Aftensmad,Tilmeldingsoversigt!$C$17," ")</f>
        <v>27.540983606557376</v>
      </c>
      <c r="D227" s="68" t="str">
        <f>IF(Tilmeldingsoversigt!$D$9="x",Aftensmad," ")</f>
        <v>Aftensmad</v>
      </c>
      <c r="E227" s="69">
        <f ca="1">IF(D227=Aftensmad,Tilmeldingsoversigt!$C$17," ")</f>
        <v>27.540983606557376</v>
      </c>
      <c r="F227" s="68" t="str">
        <f>IF(Tilmeldingsoversigt!$E$9="x",Aftensmad," ")</f>
        <v>Aftensmad</v>
      </c>
      <c r="G227" s="69">
        <f ca="1">IF(F227=Aftensmad,Tilmeldingsoversigt!$C$17," ")</f>
        <v>27.540983606557376</v>
      </c>
      <c r="H227" s="68" t="str">
        <f>IF(Tilmeldingsoversigt!$F$9="x",Aftensmad," ")</f>
        <v>Aftensmad</v>
      </c>
      <c r="I227" s="69">
        <f ca="1">IF(H227=Aftensmad,Tilmeldingsoversigt!$C$17," ")</f>
        <v>27.540983606557376</v>
      </c>
      <c r="J227" s="68" t="str">
        <f>IF(Tilmeldingsoversigt!$G$9="x",Aftensmad," ")</f>
        <v>Aftensmad</v>
      </c>
      <c r="K227" s="69">
        <f ca="1">IF(J227=Aftensmad,Tilmeldingsoversigt!$C$17," ")</f>
        <v>27.540983606557376</v>
      </c>
      <c r="L227" s="68" t="str">
        <f>IF(Tilmeldingsoversigt!$H$9="x",Aftensmad," ")</f>
        <v>Aftensmad</v>
      </c>
      <c r="M227" s="69">
        <f ca="1">IF(L227=Aftensmad,Tilmeldingsoversigt!$C$17," ")</f>
        <v>27.540983606557376</v>
      </c>
      <c r="N227" s="87"/>
      <c r="O227" s="88"/>
      <c r="P227" s="66"/>
    </row>
    <row r="228" spans="2:16" x14ac:dyDescent="0.25">
      <c r="B228" s="68" t="str">
        <f>IF(Tilmeldingsoversigt!$C$10="x",biret," ")</f>
        <v>Biret</v>
      </c>
      <c r="C228" s="69">
        <f>IF(B228=biret,biretpris," ")</f>
        <v>0</v>
      </c>
      <c r="D228" s="68" t="str">
        <f>IF(Tilmeldingsoversigt!$D$10="x",biret," ")</f>
        <v>Biret</v>
      </c>
      <c r="E228" s="69">
        <f>IF(D228=biret,biretpris," ")</f>
        <v>0</v>
      </c>
      <c r="F228" s="68" t="str">
        <f>IF(Tilmeldingsoversigt!$E$10="x",biret," ")</f>
        <v>Biret</v>
      </c>
      <c r="G228" s="69">
        <f>IF(F228=biret,biretpris," ")</f>
        <v>0</v>
      </c>
      <c r="H228" s="68" t="str">
        <f>IF(Tilmeldingsoversigt!$F$10="x",biret," ")</f>
        <v>Biret</v>
      </c>
      <c r="I228" s="69">
        <f>IF(H228=biret,biretpris," ")</f>
        <v>0</v>
      </c>
      <c r="J228" s="68" t="str">
        <f>IF(Tilmeldingsoversigt!$G$10="x",biret," ")</f>
        <v>Biret</v>
      </c>
      <c r="K228" s="69">
        <f>IF(J228=biret,biretpris," ")</f>
        <v>0</v>
      </c>
      <c r="L228" s="68" t="str">
        <f>IF(Tilmeldingsoversigt!$H$10="x",biret," ")</f>
        <v>Biret</v>
      </c>
      <c r="M228" s="69">
        <f>IF(L228=biret,biretpris," ")</f>
        <v>0</v>
      </c>
      <c r="N228" s="87"/>
      <c r="O228" s="88"/>
      <c r="P228" s="66"/>
    </row>
    <row r="229" spans="2:16" x14ac:dyDescent="0.25">
      <c r="B229" s="71" t="str">
        <f>IF(Tilmeldingsoversigt!$C$11="x",mellemmåltid," ")</f>
        <v xml:space="preserve"> </v>
      </c>
      <c r="C229" s="69" t="str">
        <f>IF(B229=mellemmåltid,mellemmåltidspris," ")</f>
        <v xml:space="preserve"> </v>
      </c>
      <c r="D229" s="71" t="str">
        <f>IF(Tilmeldingsoversigt!$C$11="x",mellemmåltid," ")</f>
        <v xml:space="preserve"> </v>
      </c>
      <c r="E229" s="72" t="str">
        <f>IF(D229=mellemmåltid,mellemmåltidspris," ")</f>
        <v xml:space="preserve"> </v>
      </c>
      <c r="F229" s="71" t="str">
        <f>IF(Tilmeldingsoversigt!$C$11="x",mellemmåltid," ")</f>
        <v xml:space="preserve"> </v>
      </c>
      <c r="G229" s="72" t="str">
        <f>IF(F229=mellemmåltid,mellemmåltidspris," ")</f>
        <v xml:space="preserve"> </v>
      </c>
      <c r="H229" s="71" t="str">
        <f>IF(Tilmeldingsoversigt!$C$11="x",mellemmåltid," ")</f>
        <v xml:space="preserve"> </v>
      </c>
      <c r="I229" s="72" t="str">
        <f>IF(H229=mellemmåltid,mellemmåltidspris," ")</f>
        <v xml:space="preserve"> </v>
      </c>
      <c r="J229" s="71" t="str">
        <f>IF(Tilmeldingsoversigt!$C$11="x",mellemmåltid," ")</f>
        <v xml:space="preserve"> </v>
      </c>
      <c r="K229" s="72" t="str">
        <f>IF(J229=mellemmåltid,mellemmåltidspris," ")</f>
        <v xml:space="preserve"> </v>
      </c>
      <c r="L229" s="71" t="str">
        <f>IF(Tilmeldingsoversigt!$C$11="x",mellemmåltid," ")</f>
        <v xml:space="preserve"> </v>
      </c>
      <c r="M229" s="72" t="str">
        <f>IF(L229=mellemmåltid,mellemmåltidspris," ")</f>
        <v xml:space="preserve"> </v>
      </c>
      <c r="N229" s="89"/>
      <c r="O229" s="90"/>
      <c r="P229" s="66"/>
    </row>
    <row r="230" spans="2:16" x14ac:dyDescent="0.25">
      <c r="B230" s="74" t="s">
        <v>44</v>
      </c>
      <c r="C230" s="11">
        <f ca="1">SUM(C225:C229)</f>
        <v>99.311475409836063</v>
      </c>
      <c r="D230" s="74"/>
      <c r="E230" s="11">
        <f ca="1">SUM(E225:E229)</f>
        <v>99.311475409836063</v>
      </c>
      <c r="F230" s="74"/>
      <c r="G230" s="11">
        <f ca="1">SUM(G225:G229)</f>
        <v>99.311475409836063</v>
      </c>
      <c r="H230" s="74"/>
      <c r="I230" s="11">
        <f ca="1">SUM(I225:I229)</f>
        <v>99.311475409836063</v>
      </c>
      <c r="J230" s="74"/>
      <c r="K230" s="11">
        <f ca="1">SUM(K225:K229)</f>
        <v>99.311475409836063</v>
      </c>
      <c r="L230" s="74"/>
      <c r="M230" s="11">
        <f ca="1">SUM(M225:M229)</f>
        <v>99.311475409836063</v>
      </c>
      <c r="N230" s="74"/>
      <c r="O230" s="12">
        <f>SUM(O225:O229)</f>
        <v>0</v>
      </c>
      <c r="P230" s="75">
        <f ca="1">SUMIF(B223:N223,"&gt;="&amp;15,C230:O230)</f>
        <v>198.62295081967213</v>
      </c>
    </row>
    <row r="231" spans="2:16" x14ac:dyDescent="0.2">
      <c r="B231" s="76"/>
      <c r="C231" s="77"/>
      <c r="D231" s="77"/>
      <c r="E231" s="77"/>
      <c r="F231" s="77"/>
      <c r="G231" s="77"/>
      <c r="H231" s="77"/>
      <c r="I231" s="77"/>
      <c r="J231" s="77"/>
      <c r="K231" s="77"/>
      <c r="L231" s="77"/>
      <c r="M231" s="77"/>
      <c r="N231" s="77"/>
      <c r="O231" s="77"/>
      <c r="P231" s="76"/>
    </row>
    <row r="232" spans="2:16" ht="12.75" hidden="1" x14ac:dyDescent="0.25">
      <c r="B232" s="78">
        <f>DAY(IF(DAY(AprSøn1)=1,AprSøn1+29,AprSøn1+36))</f>
        <v>6</v>
      </c>
      <c r="C232" s="91"/>
      <c r="D232" s="78">
        <f>DAY(IF(DAY(AprSøn1)=1,AprSøn1+30,AprSøn1+37))</f>
        <v>7</v>
      </c>
      <c r="E232" s="79"/>
      <c r="F232" s="92">
        <f>DAY(IF(DAY(AprSøn1)=1,AprSøn1+31,AprSøn1+38))</f>
        <v>8</v>
      </c>
      <c r="G232" s="79"/>
      <c r="H232" s="78">
        <f>DAY(IF(DAY(AprSøn1)=1,AprSøn1+32,AprSøn1+39))</f>
        <v>9</v>
      </c>
      <c r="I232" s="79"/>
      <c r="J232" s="78">
        <f>DAY(IF(DAY(AprSøn1)=1,AprSøn1+33,AprSøn1+40))</f>
        <v>10</v>
      </c>
      <c r="K232" s="79"/>
      <c r="L232" s="78">
        <f>DAY(IF(DAY(AprSøn1)=1,AprSøn1+34,AprSøn1+41))</f>
        <v>11</v>
      </c>
      <c r="M232" s="79"/>
      <c r="N232" s="78">
        <f>DAY(IF(DAY(AprSøn1)=1,AprSøn1+35,AprSøn1+42))</f>
        <v>12</v>
      </c>
      <c r="O232" s="79"/>
      <c r="P232" s="85"/>
    </row>
    <row r="233" spans="2:16" hidden="1" x14ac:dyDescent="0.25">
      <c r="B233" s="64" t="s">
        <v>42</v>
      </c>
      <c r="C233" s="81" t="s">
        <v>43</v>
      </c>
      <c r="D233" s="64" t="s">
        <v>42</v>
      </c>
      <c r="E233" s="81" t="s">
        <v>43</v>
      </c>
      <c r="F233" s="64" t="s">
        <v>42</v>
      </c>
      <c r="G233" s="81" t="s">
        <v>43</v>
      </c>
      <c r="H233" s="64" t="s">
        <v>42</v>
      </c>
      <c r="I233" s="81" t="s">
        <v>43</v>
      </c>
      <c r="J233" s="64" t="s">
        <v>42</v>
      </c>
      <c r="K233" s="81" t="s">
        <v>43</v>
      </c>
      <c r="L233" s="64" t="s">
        <v>42</v>
      </c>
      <c r="M233" s="81" t="s">
        <v>43</v>
      </c>
      <c r="N233" s="64" t="s">
        <v>42</v>
      </c>
      <c r="O233" s="82" t="s">
        <v>43</v>
      </c>
      <c r="P233" s="66"/>
    </row>
    <row r="234" spans="2:16" hidden="1" x14ac:dyDescent="0.25">
      <c r="B234" s="136"/>
      <c r="C234" s="67"/>
      <c r="D234" s="136"/>
      <c r="E234" s="67"/>
      <c r="F234" s="136"/>
      <c r="G234" s="67"/>
      <c r="H234" s="136"/>
      <c r="I234" s="67"/>
      <c r="J234" s="136"/>
      <c r="K234" s="67"/>
      <c r="L234" s="136"/>
      <c r="M234" s="67"/>
      <c r="N234" s="136"/>
      <c r="O234" s="83" t="str">
        <f>IF(N234=Morgenmad,Tilmeldingsoversigt!$C$15," ")</f>
        <v xml:space="preserve"> </v>
      </c>
      <c r="P234" s="66"/>
    </row>
    <row r="235" spans="2:16" hidden="1" x14ac:dyDescent="0.25">
      <c r="B235" s="68"/>
      <c r="C235" s="69"/>
      <c r="D235" s="68"/>
      <c r="E235" s="69"/>
      <c r="F235" s="68"/>
      <c r="G235" s="69"/>
      <c r="H235" s="68"/>
      <c r="I235" s="69"/>
      <c r="J235" s="68"/>
      <c r="K235" s="69"/>
      <c r="L235" s="68"/>
      <c r="M235" s="69"/>
      <c r="N235" s="68"/>
      <c r="O235" s="70" t="str">
        <f>IF(N235=hovedret,Tilmeldingsoversigt!$C$16," ")</f>
        <v xml:space="preserve"> </v>
      </c>
      <c r="P235" s="66"/>
    </row>
    <row r="236" spans="2:16" hidden="1" x14ac:dyDescent="0.25">
      <c r="B236" s="68"/>
      <c r="C236" s="69"/>
      <c r="D236" s="68"/>
      <c r="E236" s="69"/>
      <c r="F236" s="68"/>
      <c r="G236" s="69"/>
      <c r="H236" s="68"/>
      <c r="I236" s="69"/>
      <c r="J236" s="68"/>
      <c r="K236" s="69"/>
      <c r="L236" s="68"/>
      <c r="M236" s="69"/>
      <c r="N236" s="68"/>
      <c r="O236" s="70" t="str">
        <f>IF(N236=Aftensmad,Tilmeldingsoversigt!$C$17," ")</f>
        <v xml:space="preserve"> </v>
      </c>
      <c r="P236" s="66"/>
    </row>
    <row r="237" spans="2:16" hidden="1" x14ac:dyDescent="0.25">
      <c r="B237" s="68"/>
      <c r="C237" s="69"/>
      <c r="D237" s="68"/>
      <c r="E237" s="69"/>
      <c r="F237" s="68"/>
      <c r="G237" s="69"/>
      <c r="H237" s="68"/>
      <c r="I237" s="69"/>
      <c r="J237" s="68"/>
      <c r="K237" s="69"/>
      <c r="L237" s="68"/>
      <c r="M237" s="69"/>
      <c r="N237" s="68"/>
      <c r="O237" s="70"/>
      <c r="P237" s="66"/>
    </row>
    <row r="238" spans="2:16" hidden="1" x14ac:dyDescent="0.25">
      <c r="B238" s="71"/>
      <c r="C238" s="72"/>
      <c r="D238" s="71"/>
      <c r="E238" s="72"/>
      <c r="F238" s="71"/>
      <c r="G238" s="72"/>
      <c r="H238" s="71"/>
      <c r="I238" s="72"/>
      <c r="J238" s="71"/>
      <c r="K238" s="72"/>
      <c r="L238" s="71"/>
      <c r="M238" s="72"/>
      <c r="N238" s="71"/>
      <c r="O238" s="73"/>
      <c r="P238" s="66"/>
    </row>
    <row r="239" spans="2:16" hidden="1" x14ac:dyDescent="0.25">
      <c r="B239" s="74" t="s">
        <v>44</v>
      </c>
      <c r="C239" s="11">
        <f>SUM(C234:C238)</f>
        <v>0</v>
      </c>
      <c r="D239" s="74"/>
      <c r="E239" s="11">
        <f>SUM(E234:E238)</f>
        <v>0</v>
      </c>
      <c r="F239" s="74"/>
      <c r="G239" s="11">
        <f>SUM(G234:G238)</f>
        <v>0</v>
      </c>
      <c r="H239" s="74"/>
      <c r="I239" s="11">
        <f>SUM(I234:I238)</f>
        <v>0</v>
      </c>
      <c r="J239" s="74"/>
      <c r="K239" s="11">
        <f>SUM(K234:K238)</f>
        <v>0</v>
      </c>
      <c r="L239" s="74"/>
      <c r="M239" s="11">
        <f>SUM(M234:M238)</f>
        <v>0</v>
      </c>
      <c r="N239" s="74"/>
      <c r="O239" s="12">
        <f>SUM(O234:O238)</f>
        <v>0</v>
      </c>
      <c r="P239" s="75">
        <f>SUMIF(B232:N232,"&gt;="&amp;15,C239:O239)</f>
        <v>0</v>
      </c>
    </row>
    <row r="240" spans="2:16" ht="17.25" customHeight="1" x14ac:dyDescent="0.2"/>
    <row r="241" spans="2:16" ht="12" x14ac:dyDescent="0.2">
      <c r="B241" s="246" t="s">
        <v>48</v>
      </c>
      <c r="C241" s="246"/>
      <c r="D241" s="246"/>
      <c r="E241" s="246"/>
      <c r="F241" s="49"/>
      <c r="G241" s="132">
        <f ca="1">Tilmeldingsoversigt!$E$15-(31-'Tilmeldte måltider'!G242)*Morgenpris</f>
        <v>511</v>
      </c>
      <c r="H241" s="49"/>
      <c r="I241" s="132">
        <f ca="1">Tilmeldingsoversigt!$E$16-(31-'Tilmeldte måltider'!I242)*Frokostpris</f>
        <v>1678</v>
      </c>
      <c r="J241" s="49"/>
      <c r="K241" s="132">
        <f ca="1">Tilmeldingsoversigt!$E$17-(31-'Tilmeldte måltider'!K242)*Aftenpris</f>
        <v>840</v>
      </c>
      <c r="L241" s="247" t="s">
        <v>32</v>
      </c>
      <c r="M241" s="247"/>
      <c r="N241" s="247" t="s">
        <v>33</v>
      </c>
      <c r="O241" s="247"/>
      <c r="P241" s="49"/>
    </row>
    <row r="242" spans="2:16" ht="25.5" customHeight="1" x14ac:dyDescent="0.25">
      <c r="B242" s="246"/>
      <c r="C242" s="246"/>
      <c r="D242" s="246"/>
      <c r="E242" s="246"/>
      <c r="F242" s="97" t="str">
        <f>Morgenmad</f>
        <v>Morgenmad</v>
      </c>
      <c r="G242" s="97">
        <f ca="1">IF(L243=FALSE,0,(COUNTIF(B248:O298,Morgenmad)))</f>
        <v>31</v>
      </c>
      <c r="H242" s="97" t="str">
        <f>hovedret</f>
        <v>Hovedret</v>
      </c>
      <c r="I242" s="97">
        <f ca="1">IF(L243=FALSE,0,(COUNTIF($B$249:$O$299,hovedret)))</f>
        <v>31</v>
      </c>
      <c r="J242" s="97" t="str">
        <f>Aftensmad</f>
        <v>Aftensmad</v>
      </c>
      <c r="K242" s="97">
        <f ca="1">IF(L243=FALSE,0,(COUNTIF(B249:O298,Aftensmad)))</f>
        <v>31</v>
      </c>
      <c r="L242" s="248">
        <f ca="1">IF(maj_sum=0,0,månedligtotal)</f>
        <v>3000</v>
      </c>
      <c r="M242" s="249"/>
      <c r="N242" s="248">
        <f ca="1">hovedtotal</f>
        <v>36000.409836065577</v>
      </c>
      <c r="O242" s="250"/>
      <c r="P242" s="49"/>
    </row>
    <row r="243" spans="2:16" ht="25.5" customHeight="1" x14ac:dyDescent="0.45">
      <c r="B243" s="121"/>
      <c r="C243" s="121"/>
      <c r="D243" s="121"/>
      <c r="E243" s="121"/>
      <c r="F243" s="98" t="str">
        <f>biret</f>
        <v>Biret</v>
      </c>
      <c r="G243" s="97">
        <f ca="1">IF(maj_sum=0,0,(COUNTIF($B$249:$O$298,biret)))</f>
        <v>31</v>
      </c>
      <c r="H243" s="98" t="str">
        <f>mellemmåltid</f>
        <v>Mellemmåltid</v>
      </c>
      <c r="I243" s="97">
        <f ca="1">IF(maj_sum=0,0,(COUNTIF($B$249:$O$298,mellemmåltid)))</f>
        <v>0</v>
      </c>
      <c r="J243" s="98"/>
      <c r="K243" s="98"/>
      <c r="L243" s="243" t="b">
        <f>IF(AND(L244,N244)=TRUE,TRUE,FALSE)</f>
        <v>1</v>
      </c>
      <c r="M243" s="244"/>
      <c r="N243" s="137">
        <f ca="1">G241+I241+K241</f>
        <v>3029</v>
      </c>
      <c r="O243" s="137"/>
      <c r="P243" s="49"/>
    </row>
    <row r="244" spans="2:16" ht="25.5" hidden="1" customHeight="1" x14ac:dyDescent="0.45">
      <c r="B244" s="121"/>
      <c r="C244" s="121"/>
      <c r="D244" s="121"/>
      <c r="E244" s="121"/>
      <c r="F244" s="138"/>
      <c r="G244" s="138"/>
      <c r="H244" s="138"/>
      <c r="I244" s="138"/>
      <c r="J244" s="138"/>
      <c r="K244" s="138"/>
      <c r="L244" s="242" t="b">
        <f>IF(OR(VLOOKUP(start_måned,Dataark!$C$5:$D$16,2,FALSE)&lt;=5,$L$184=TRUE),TRUE,FALSE)</f>
        <v>1</v>
      </c>
      <c r="M244" s="242"/>
      <c r="N244" s="242" t="b">
        <f>IF(AND(VLOOKUP(slut_måned,Dataark!$C$5:$D$16,2,FALSE)&gt;=5,L244=TRUE),TRUE,FALSE)</f>
        <v>1</v>
      </c>
      <c r="O244" s="242"/>
      <c r="P244" s="49"/>
    </row>
    <row r="245" spans="2:16" ht="9" customHeight="1" x14ac:dyDescent="0.2">
      <c r="B245" s="251">
        <v>1</v>
      </c>
      <c r="C245" s="251"/>
      <c r="D245" s="251">
        <v>2</v>
      </c>
      <c r="E245" s="251"/>
      <c r="F245" s="251">
        <v>3</v>
      </c>
      <c r="G245" s="251"/>
      <c r="H245" s="251">
        <v>4</v>
      </c>
      <c r="I245" s="251"/>
      <c r="J245" s="251">
        <v>5</v>
      </c>
      <c r="K245" s="251"/>
      <c r="L245" s="251">
        <v>6</v>
      </c>
      <c r="M245" s="251"/>
      <c r="N245" s="251">
        <v>7</v>
      </c>
      <c r="O245" s="251"/>
      <c r="P245" s="135">
        <f ca="1">IF(L243=TRUE,(N243),0)</f>
        <v>3029</v>
      </c>
    </row>
    <row r="246" spans="2:16" ht="15" customHeight="1" x14ac:dyDescent="0.25">
      <c r="B246" s="252" t="s">
        <v>34</v>
      </c>
      <c r="C246" s="253"/>
      <c r="D246" s="254" t="s">
        <v>35</v>
      </c>
      <c r="E246" s="255" t="e">
        <f>IF(WEEKDAY(DATEVALUE(Month1&amp;" 1, "&amp;Year1))=COLUMN(#REF!),1,IF(LEN(C246)&gt;0,C246+1,""))</f>
        <v>#NAME?</v>
      </c>
      <c r="F246" s="253" t="s">
        <v>36</v>
      </c>
      <c r="G246" s="253" t="e">
        <f>IF(WEEKDAY(DATEVALUE(Month1&amp;" 1, "&amp;Year1))=COLUMN(#REF!),1,IF(LEN(E246)&gt;0,E246+1,""))</f>
        <v>#NAME?</v>
      </c>
      <c r="H246" s="254" t="s">
        <v>37</v>
      </c>
      <c r="I246" s="255" t="e">
        <f>IF(WEEKDAY(DATEVALUE(Month1&amp;" 1, "&amp;Year1))=COLUMN(#REF!),1,IF(LEN(G246)&gt;0,G246+1,""))</f>
        <v>#NAME?</v>
      </c>
      <c r="J246" s="256" t="s">
        <v>38</v>
      </c>
      <c r="K246" s="257" t="e">
        <f>IF(WEEKDAY(DATEVALUE(Month1&amp;" 1, "&amp;Year1))=COLUMN(#REF!),1,IF(LEN(I246)&gt;0,I246+1,""))</f>
        <v>#NAME?</v>
      </c>
      <c r="L246" s="258" t="s">
        <v>39</v>
      </c>
      <c r="M246" s="259" t="e">
        <f>IF(WEEKDAY(DATEVALUE(Month1&amp;" 1, "&amp;Year1))=COLUMN(#REF!),1,IF(LEN(K246)&gt;0,K246+1,""))</f>
        <v>#NAME?</v>
      </c>
      <c r="N246" s="258" t="s">
        <v>40</v>
      </c>
      <c r="O246" s="259" t="e">
        <f>IF(WEEKDAY(DATEVALUE(Month1&amp;" 1, "&amp;Year1))=COLUMN(#REF!),1,IF(LEN(M246)&gt;0,M246+1,""))</f>
        <v>#NAME?</v>
      </c>
      <c r="P246" s="53" t="s">
        <v>41</v>
      </c>
    </row>
    <row r="247" spans="2:16" ht="12.75" x14ac:dyDescent="0.25">
      <c r="B247" s="55">
        <f>DAY(IF(DAY(MajSøn1)=1,MajSøn1-6,MajSøn1+1))</f>
        <v>29</v>
      </c>
      <c r="C247" s="56"/>
      <c r="D247" s="57">
        <f>DAY(IF(DAY(MajSøn1)=1,MajSøn1-5,MajSøn1+2))</f>
        <v>30</v>
      </c>
      <c r="E247" s="56"/>
      <c r="F247" s="57">
        <f>DAY(IF(DAY(MajSøn1)=1,MajSøn1-4,MajSøn1+3))</f>
        <v>1</v>
      </c>
      <c r="G247" s="56"/>
      <c r="H247" s="57">
        <f>DAY(IF(DAY(MajSøn1)=1,MajSøn1-3,MajSøn1+4))</f>
        <v>2</v>
      </c>
      <c r="I247" s="56"/>
      <c r="J247" s="57">
        <f>DAY(IF(DAY(MajSøn1)=1,MajSøn1-2,MajSøn1+5))</f>
        <v>3</v>
      </c>
      <c r="K247" s="56"/>
      <c r="L247" s="57">
        <f>DAY(IF(DAY(MajSøn1)=1,MajSøn1-1,MajSøn1+6))</f>
        <v>4</v>
      </c>
      <c r="M247" s="56"/>
      <c r="N247" s="58">
        <f>DAY(IF(DAY(MajSøn1)=1,MajSøn1,MajSøn1+7))</f>
        <v>5</v>
      </c>
      <c r="O247" s="59"/>
      <c r="P247" s="60"/>
    </row>
    <row r="248" spans="2:16" x14ac:dyDescent="0.25">
      <c r="B248" s="61" t="s">
        <v>42</v>
      </c>
      <c r="C248" s="62" t="s">
        <v>43</v>
      </c>
      <c r="D248" s="63" t="s">
        <v>42</v>
      </c>
      <c r="E248" s="62" t="s">
        <v>43</v>
      </c>
      <c r="F248" s="63" t="s">
        <v>42</v>
      </c>
      <c r="G248" s="62" t="s">
        <v>43</v>
      </c>
      <c r="H248" s="63" t="s">
        <v>42</v>
      </c>
      <c r="I248" s="62" t="s">
        <v>43</v>
      </c>
      <c r="J248" s="63" t="s">
        <v>42</v>
      </c>
      <c r="K248" s="62" t="s">
        <v>43</v>
      </c>
      <c r="L248" s="63" t="s">
        <v>42</v>
      </c>
      <c r="M248" s="62" t="s">
        <v>43</v>
      </c>
      <c r="N248" s="64" t="s">
        <v>42</v>
      </c>
      <c r="O248" s="65" t="s">
        <v>43</v>
      </c>
      <c r="P248" s="66"/>
    </row>
    <row r="249" spans="2:16" x14ac:dyDescent="0.25">
      <c r="B249" s="136"/>
      <c r="C249" s="67"/>
      <c r="D249" s="136"/>
      <c r="E249" s="67"/>
      <c r="F249" s="136"/>
      <c r="G249" s="67"/>
      <c r="H249" s="136"/>
      <c r="I249" s="67"/>
      <c r="J249" s="136"/>
      <c r="K249" s="67"/>
      <c r="L249" s="136"/>
      <c r="M249" s="67"/>
      <c r="N249" s="136" t="str">
        <f>IF(Tilmeldingsoversigt!$I$7="x",Morgenmad," ")</f>
        <v>Morgenmad</v>
      </c>
      <c r="O249" s="83">
        <f ca="1">IF(N249=Morgenmad,Tilmeldingsoversigt!$C$15," ")</f>
        <v>16.754098360655739</v>
      </c>
      <c r="P249" s="66"/>
    </row>
    <row r="250" spans="2:16" x14ac:dyDescent="0.25">
      <c r="B250" s="68"/>
      <c r="C250" s="69"/>
      <c r="D250" s="68"/>
      <c r="E250" s="69"/>
      <c r="F250" s="68"/>
      <c r="G250" s="69"/>
      <c r="H250" s="68"/>
      <c r="I250" s="69"/>
      <c r="J250" s="68"/>
      <c r="K250" s="69"/>
      <c r="L250" s="68"/>
      <c r="M250" s="69"/>
      <c r="N250" s="68" t="str">
        <f>IF(Tilmeldingsoversigt!$I$8="x",hovedret," ")</f>
        <v>Hovedret</v>
      </c>
      <c r="O250" s="70">
        <f ca="1">IF(N250=hovedret,Tilmeldingsoversigt!$C$16," ")</f>
        <v>55.016393442622949</v>
      </c>
      <c r="P250" s="66"/>
    </row>
    <row r="251" spans="2:16" x14ac:dyDescent="0.25">
      <c r="B251" s="68"/>
      <c r="C251" s="69"/>
      <c r="D251" s="68"/>
      <c r="E251" s="69"/>
      <c r="F251" s="68"/>
      <c r="G251" s="69"/>
      <c r="H251" s="68"/>
      <c r="I251" s="69"/>
      <c r="J251" s="68"/>
      <c r="K251" s="69"/>
      <c r="L251" s="68"/>
      <c r="M251" s="69"/>
      <c r="N251" s="68" t="str">
        <f>IF(Tilmeldingsoversigt!$I$9="x",Aftensmad," ")</f>
        <v>Aftensmad</v>
      </c>
      <c r="O251" s="70">
        <f ca="1">IF(N251=Aftensmad,Tilmeldingsoversigt!$C$17," ")</f>
        <v>27.540983606557376</v>
      </c>
      <c r="P251" s="66"/>
    </row>
    <row r="252" spans="2:16" x14ac:dyDescent="0.25">
      <c r="B252" s="68"/>
      <c r="C252" s="69"/>
      <c r="D252" s="68"/>
      <c r="E252" s="69"/>
      <c r="F252" s="68"/>
      <c r="G252" s="69"/>
      <c r="H252" s="68"/>
      <c r="I252" s="69"/>
      <c r="J252" s="68"/>
      <c r="K252" s="70"/>
      <c r="L252" s="68"/>
      <c r="M252" s="69"/>
      <c r="N252" s="68" t="str">
        <f>IF(Tilmeldingsoversigt!$I$10="x",biret," ")</f>
        <v>Biret</v>
      </c>
      <c r="O252" s="70">
        <f>IF(N252=biret,biretpris," ")</f>
        <v>0</v>
      </c>
      <c r="P252" s="66"/>
    </row>
    <row r="253" spans="2:16" x14ac:dyDescent="0.25">
      <c r="B253" s="71"/>
      <c r="C253" s="72"/>
      <c r="D253" s="71"/>
      <c r="E253" s="72"/>
      <c r="F253" s="71"/>
      <c r="G253" s="72"/>
      <c r="H253" s="71"/>
      <c r="I253" s="72"/>
      <c r="J253" s="71"/>
      <c r="K253" s="73"/>
      <c r="L253" s="71"/>
      <c r="M253" s="72"/>
      <c r="N253" s="71" t="str">
        <f>IF(Tilmeldingsoversigt!$C$11="x",mellemmåltid," ")</f>
        <v xml:space="preserve"> </v>
      </c>
      <c r="O253" s="73" t="str">
        <f>IF(N253=mellemmåltid,mellemmåltidspris," ")</f>
        <v xml:space="preserve"> </v>
      </c>
      <c r="P253" s="66"/>
    </row>
    <row r="254" spans="2:16" x14ac:dyDescent="0.25">
      <c r="B254" s="74" t="s">
        <v>44</v>
      </c>
      <c r="C254" s="11">
        <f>SUM(C249:C253)</f>
        <v>0</v>
      </c>
      <c r="D254" s="74"/>
      <c r="E254" s="11">
        <f>SUM(E249:E253)</f>
        <v>0</v>
      </c>
      <c r="F254" s="74"/>
      <c r="G254" s="11">
        <f>SUM(G249:G253)</f>
        <v>0</v>
      </c>
      <c r="H254" s="74"/>
      <c r="I254" s="11">
        <f>SUM(I249:I253)</f>
        <v>0</v>
      </c>
      <c r="J254" s="74"/>
      <c r="K254" s="11">
        <f>SUM(K249:K253)</f>
        <v>0</v>
      </c>
      <c r="L254" s="74"/>
      <c r="M254" s="11">
        <f>SUM(M249:M253)</f>
        <v>0</v>
      </c>
      <c r="N254" s="74"/>
      <c r="O254" s="12">
        <f ca="1">SUM(O249:O253)</f>
        <v>99.311475409836063</v>
      </c>
      <c r="P254" s="75">
        <f ca="1">SUMIF(B247:N247,"&lt;8",C254:O254)</f>
        <v>99.311475409836063</v>
      </c>
    </row>
    <row r="255" spans="2:16" x14ac:dyDescent="0.2">
      <c r="B255" s="76"/>
      <c r="C255" s="77"/>
      <c r="D255" s="77"/>
      <c r="E255" s="77"/>
      <c r="F255" s="77"/>
      <c r="G255" s="77"/>
      <c r="H255" s="77"/>
      <c r="I255" s="77"/>
      <c r="J255" s="77"/>
      <c r="K255" s="77"/>
      <c r="L255" s="77"/>
      <c r="M255" s="77"/>
      <c r="N255" s="77"/>
      <c r="O255" s="77"/>
      <c r="P255" s="76"/>
    </row>
    <row r="256" spans="2:16" ht="12.75" x14ac:dyDescent="0.25">
      <c r="B256" s="78">
        <f>N247+1</f>
        <v>6</v>
      </c>
      <c r="C256" s="79"/>
      <c r="D256" s="78">
        <f>B256+1</f>
        <v>7</v>
      </c>
      <c r="E256" s="79"/>
      <c r="F256" s="78">
        <f>D256+1</f>
        <v>8</v>
      </c>
      <c r="G256" s="79"/>
      <c r="H256" s="78">
        <f>F256+1</f>
        <v>9</v>
      </c>
      <c r="I256" s="79"/>
      <c r="J256" s="78">
        <f>H256+1</f>
        <v>10</v>
      </c>
      <c r="K256" s="79"/>
      <c r="L256" s="78">
        <f>J256+1</f>
        <v>11</v>
      </c>
      <c r="M256" s="79"/>
      <c r="N256" s="78">
        <f>L256+1</f>
        <v>12</v>
      </c>
      <c r="O256" s="79"/>
      <c r="P256" s="80"/>
    </row>
    <row r="257" spans="2:16" x14ac:dyDescent="0.25">
      <c r="B257" s="64" t="s">
        <v>42</v>
      </c>
      <c r="C257" s="81" t="s">
        <v>43</v>
      </c>
      <c r="D257" s="64" t="s">
        <v>42</v>
      </c>
      <c r="E257" s="81" t="s">
        <v>43</v>
      </c>
      <c r="F257" s="64" t="s">
        <v>42</v>
      </c>
      <c r="G257" s="81" t="s">
        <v>43</v>
      </c>
      <c r="H257" s="64" t="s">
        <v>42</v>
      </c>
      <c r="I257" s="81" t="s">
        <v>43</v>
      </c>
      <c r="J257" s="64" t="s">
        <v>42</v>
      </c>
      <c r="K257" s="81" t="s">
        <v>43</v>
      </c>
      <c r="L257" s="64" t="s">
        <v>42</v>
      </c>
      <c r="M257" s="81" t="s">
        <v>43</v>
      </c>
      <c r="N257" s="64" t="s">
        <v>42</v>
      </c>
      <c r="O257" s="82" t="s">
        <v>43</v>
      </c>
      <c r="P257" s="66"/>
    </row>
    <row r="258" spans="2:16" x14ac:dyDescent="0.25">
      <c r="B258" s="136" t="str">
        <f>IF(Tilmeldingsoversigt!$C$7="x",Morgenmad," ")</f>
        <v>Morgenmad</v>
      </c>
      <c r="C258" s="67">
        <f ca="1">IF(B258=Morgenmad,Tilmeldingsoversigt!$C$15," ")</f>
        <v>16.754098360655739</v>
      </c>
      <c r="D258" s="136" t="str">
        <f>IF(Tilmeldingsoversigt!$D$7="x",Morgenmad," ")</f>
        <v>Morgenmad</v>
      </c>
      <c r="E258" s="67">
        <f ca="1">IF(D258=Morgenmad,Tilmeldingsoversigt!$C$15," ")</f>
        <v>16.754098360655739</v>
      </c>
      <c r="F258" s="136" t="str">
        <f>IF(Tilmeldingsoversigt!$E$7="x",Morgenmad," ")</f>
        <v>Morgenmad</v>
      </c>
      <c r="G258" s="67">
        <f ca="1">IF(F258=Morgenmad,Tilmeldingsoversigt!$C$15," ")</f>
        <v>16.754098360655739</v>
      </c>
      <c r="H258" s="136" t="str">
        <f>IF(Tilmeldingsoversigt!$F$7="x",Morgenmad," ")</f>
        <v>Morgenmad</v>
      </c>
      <c r="I258" s="67">
        <f ca="1">IF(H258=Morgenmad,Tilmeldingsoversigt!$C$15," ")</f>
        <v>16.754098360655739</v>
      </c>
      <c r="J258" s="136" t="str">
        <f>IF(Tilmeldingsoversigt!$G$7="x",Morgenmad," ")</f>
        <v>Morgenmad</v>
      </c>
      <c r="K258" s="67">
        <f ca="1">IF(J258=Morgenmad,Tilmeldingsoversigt!$C$15," ")</f>
        <v>16.754098360655739</v>
      </c>
      <c r="L258" s="136" t="str">
        <f>IF(Tilmeldingsoversigt!$H$7="x",Morgenmad," ")</f>
        <v>Morgenmad</v>
      </c>
      <c r="M258" s="67">
        <f ca="1">IF(L258=Morgenmad,Tilmeldingsoversigt!$C$15," ")</f>
        <v>16.754098360655739</v>
      </c>
      <c r="N258" s="136" t="str">
        <f>IF(Tilmeldingsoversigt!$I$7="x",Morgenmad," ")</f>
        <v>Morgenmad</v>
      </c>
      <c r="O258" s="83">
        <f ca="1">IF(N258=Morgenmad,Tilmeldingsoversigt!$C$15," ")</f>
        <v>16.754098360655739</v>
      </c>
      <c r="P258" s="66"/>
    </row>
    <row r="259" spans="2:16" x14ac:dyDescent="0.25">
      <c r="B259" s="68" t="str">
        <f>IF(Tilmeldingsoversigt!$C$8="x",hovedret," ")</f>
        <v>Hovedret</v>
      </c>
      <c r="C259" s="69">
        <f ca="1">IF(B259=hovedret,Tilmeldingsoversigt!$C$16," ")</f>
        <v>55.016393442622949</v>
      </c>
      <c r="D259" s="68" t="str">
        <f>IF(Tilmeldingsoversigt!$D$8="x",hovedret," ")</f>
        <v>Hovedret</v>
      </c>
      <c r="E259" s="69">
        <f ca="1">IF(D259=hovedret,Tilmeldingsoversigt!$C$16," ")</f>
        <v>55.016393442622949</v>
      </c>
      <c r="F259" s="68" t="str">
        <f>IF(Tilmeldingsoversigt!$E$8="x",hovedret," ")</f>
        <v>Hovedret</v>
      </c>
      <c r="G259" s="69">
        <f ca="1">IF(F259=hovedret,Tilmeldingsoversigt!$C$16," ")</f>
        <v>55.016393442622949</v>
      </c>
      <c r="H259" s="68" t="str">
        <f>IF(Tilmeldingsoversigt!$F$8="x",hovedret," ")</f>
        <v>Hovedret</v>
      </c>
      <c r="I259" s="69">
        <f ca="1">IF(H259=hovedret,Tilmeldingsoversigt!$C$16," ")</f>
        <v>55.016393442622949</v>
      </c>
      <c r="J259" s="68" t="str">
        <f>IF(Tilmeldingsoversigt!$G$8="x",hovedret," ")</f>
        <v>Hovedret</v>
      </c>
      <c r="K259" s="69">
        <f ca="1">IF(J259=hovedret,Tilmeldingsoversigt!$C$16," ")</f>
        <v>55.016393442622949</v>
      </c>
      <c r="L259" s="68" t="str">
        <f>IF(Tilmeldingsoversigt!$H$8="x",hovedret," ")</f>
        <v>Hovedret</v>
      </c>
      <c r="M259" s="69">
        <f ca="1">IF(L259=hovedret,Tilmeldingsoversigt!$C$16," ")</f>
        <v>55.016393442622949</v>
      </c>
      <c r="N259" s="68" t="str">
        <f>IF(Tilmeldingsoversigt!$I$8="x",hovedret," ")</f>
        <v>Hovedret</v>
      </c>
      <c r="O259" s="70">
        <f ca="1">IF(N259=hovedret,Tilmeldingsoversigt!$C$16," ")</f>
        <v>55.016393442622949</v>
      </c>
      <c r="P259" s="66"/>
    </row>
    <row r="260" spans="2:16" x14ac:dyDescent="0.25">
      <c r="B260" s="68" t="str">
        <f>IF(Tilmeldingsoversigt!$C$9="x",Aftensmad," ")</f>
        <v>Aftensmad</v>
      </c>
      <c r="C260" s="69">
        <f ca="1">IF(B260=Aftensmad,Tilmeldingsoversigt!$C$17," ")</f>
        <v>27.540983606557376</v>
      </c>
      <c r="D260" s="68" t="str">
        <f>IF(Tilmeldingsoversigt!$D$9="x",Aftensmad," ")</f>
        <v>Aftensmad</v>
      </c>
      <c r="E260" s="69">
        <f ca="1">IF(D260=Aftensmad,Tilmeldingsoversigt!$C$17," ")</f>
        <v>27.540983606557376</v>
      </c>
      <c r="F260" s="68" t="str">
        <f>IF(Tilmeldingsoversigt!$E$9="x",Aftensmad," ")</f>
        <v>Aftensmad</v>
      </c>
      <c r="G260" s="69">
        <f ca="1">IF(F260=Aftensmad,Tilmeldingsoversigt!$C$17," ")</f>
        <v>27.540983606557376</v>
      </c>
      <c r="H260" s="68" t="str">
        <f>IF(Tilmeldingsoversigt!$F$9="x",Aftensmad," ")</f>
        <v>Aftensmad</v>
      </c>
      <c r="I260" s="69">
        <f ca="1">IF(H260=Aftensmad,Tilmeldingsoversigt!$C$17," ")</f>
        <v>27.540983606557376</v>
      </c>
      <c r="J260" s="68" t="str">
        <f>IF(Tilmeldingsoversigt!$G$9="x",Aftensmad," ")</f>
        <v>Aftensmad</v>
      </c>
      <c r="K260" s="69">
        <f ca="1">IF(J260=Aftensmad,Tilmeldingsoversigt!$C$17," ")</f>
        <v>27.540983606557376</v>
      </c>
      <c r="L260" s="68" t="str">
        <f>IF(Tilmeldingsoversigt!$H$9="x",Aftensmad," ")</f>
        <v>Aftensmad</v>
      </c>
      <c r="M260" s="69">
        <f ca="1">IF(L260=Aftensmad,Tilmeldingsoversigt!$C$17," ")</f>
        <v>27.540983606557376</v>
      </c>
      <c r="N260" s="68" t="str">
        <f>IF(Tilmeldingsoversigt!$I$9="x",Aftensmad," ")</f>
        <v>Aftensmad</v>
      </c>
      <c r="O260" s="70">
        <f ca="1">IF(N260=Aftensmad,Tilmeldingsoversigt!$C$17," ")</f>
        <v>27.540983606557376</v>
      </c>
      <c r="P260" s="66"/>
    </row>
    <row r="261" spans="2:16" x14ac:dyDescent="0.25">
      <c r="B261" s="68" t="str">
        <f>IF(Tilmeldingsoversigt!$C$10="x",biret," ")</f>
        <v>Biret</v>
      </c>
      <c r="C261" s="69">
        <f>IF(B261=biret,biretpris," ")</f>
        <v>0</v>
      </c>
      <c r="D261" s="68" t="str">
        <f>IF(Tilmeldingsoversigt!$D$10="x",biret," ")</f>
        <v>Biret</v>
      </c>
      <c r="E261" s="69">
        <f>IF(D261=biret,biretpris," ")</f>
        <v>0</v>
      </c>
      <c r="F261" s="68" t="str">
        <f>IF(Tilmeldingsoversigt!$E$10="x",biret," ")</f>
        <v>Biret</v>
      </c>
      <c r="G261" s="69">
        <f>IF(F261=biret,biretpris," ")</f>
        <v>0</v>
      </c>
      <c r="H261" s="68" t="str">
        <f>IF(Tilmeldingsoversigt!$F$10="x",biret," ")</f>
        <v>Biret</v>
      </c>
      <c r="I261" s="69">
        <f>IF(H261=biret,biretpris," ")</f>
        <v>0</v>
      </c>
      <c r="J261" s="68" t="str">
        <f>IF(Tilmeldingsoversigt!$G$10="x",biret," ")</f>
        <v>Biret</v>
      </c>
      <c r="K261" s="70">
        <f>IF(J261=biret,biretpris," ")</f>
        <v>0</v>
      </c>
      <c r="L261" s="68" t="str">
        <f>IF(Tilmeldingsoversigt!$H$10="x",biret," ")</f>
        <v>Biret</v>
      </c>
      <c r="M261" s="69">
        <f>IF(L261=biret,biretpris," ")</f>
        <v>0</v>
      </c>
      <c r="N261" s="68" t="str">
        <f>IF(Tilmeldingsoversigt!$I$10="x",biret," ")</f>
        <v>Biret</v>
      </c>
      <c r="O261" s="70">
        <f>IF(N261=biret,biretpris," ")</f>
        <v>0</v>
      </c>
      <c r="P261" s="66"/>
    </row>
    <row r="262" spans="2:16" x14ac:dyDescent="0.25">
      <c r="B262" s="71" t="str">
        <f>IF(Tilmeldingsoversigt!$C$11="x",mellemmåltid," ")</f>
        <v xml:space="preserve"> </v>
      </c>
      <c r="C262" s="69" t="str">
        <f>IF(B262=mellemmåltid,mellemmåltidspris," ")</f>
        <v xml:space="preserve"> </v>
      </c>
      <c r="D262" s="71" t="str">
        <f>IF(Tilmeldingsoversigt!$C$11="x",mellemmåltid," ")</f>
        <v xml:space="preserve"> </v>
      </c>
      <c r="E262" s="72" t="str">
        <f>IF(D262=mellemmåltid,mellemmåltidspris," ")</f>
        <v xml:space="preserve"> </v>
      </c>
      <c r="F262" s="71" t="str">
        <f>IF(Tilmeldingsoversigt!$C$11="x",mellemmåltid," ")</f>
        <v xml:space="preserve"> </v>
      </c>
      <c r="G262" s="72" t="str">
        <f>IF(F262=mellemmåltid,mellemmåltidspris," ")</f>
        <v xml:space="preserve"> </v>
      </c>
      <c r="H262" s="71" t="str">
        <f>IF(Tilmeldingsoversigt!$C$11="x",mellemmåltid," ")</f>
        <v xml:space="preserve"> </v>
      </c>
      <c r="I262" s="72" t="str">
        <f>IF(H262=mellemmåltid,mellemmåltidspris," ")</f>
        <v xml:space="preserve"> </v>
      </c>
      <c r="J262" s="71" t="str">
        <f>IF(Tilmeldingsoversigt!$C$11="x",mellemmåltid," ")</f>
        <v xml:space="preserve"> </v>
      </c>
      <c r="K262" s="73" t="str">
        <f>IF(J262=mellemmåltid,mellemmåltidspris," ")</f>
        <v xml:space="preserve"> </v>
      </c>
      <c r="L262" s="71" t="str">
        <f>IF(Tilmeldingsoversigt!$C$11="x",mellemmåltid," ")</f>
        <v xml:space="preserve"> </v>
      </c>
      <c r="M262" s="72" t="str">
        <f>IF(L262=mellemmåltid,mellemmåltidspris," ")</f>
        <v xml:space="preserve"> </v>
      </c>
      <c r="N262" s="71" t="str">
        <f>IF(Tilmeldingsoversigt!$C$11="x",mellemmåltid," ")</f>
        <v xml:space="preserve"> </v>
      </c>
      <c r="O262" s="73" t="str">
        <f>IF(N262=mellemmåltid,mellemmåltidspris," ")</f>
        <v xml:space="preserve"> </v>
      </c>
      <c r="P262" s="66"/>
    </row>
    <row r="263" spans="2:16" x14ac:dyDescent="0.25">
      <c r="B263" s="74" t="s">
        <v>44</v>
      </c>
      <c r="C263" s="11">
        <f ca="1">SUM(C258:C262)</f>
        <v>99.311475409836063</v>
      </c>
      <c r="D263" s="74"/>
      <c r="E263" s="11">
        <f ca="1">SUM(E258:E262)</f>
        <v>99.311475409836063</v>
      </c>
      <c r="F263" s="74"/>
      <c r="G263" s="11">
        <f ca="1">SUM(G258:G262)</f>
        <v>99.311475409836063</v>
      </c>
      <c r="H263" s="74"/>
      <c r="I263" s="11">
        <f ca="1">SUM(I258:I262)</f>
        <v>99.311475409836063</v>
      </c>
      <c r="J263" s="74"/>
      <c r="K263" s="11">
        <f ca="1">SUM(K258:K262)</f>
        <v>99.311475409836063</v>
      </c>
      <c r="L263" s="74"/>
      <c r="M263" s="11">
        <f ca="1">SUM(M258:M262)</f>
        <v>99.311475409836063</v>
      </c>
      <c r="N263" s="74"/>
      <c r="O263" s="12">
        <f ca="1">SUM(O258:O262)</f>
        <v>99.311475409836063</v>
      </c>
      <c r="P263" s="75">
        <f ca="1">SUM(C263,E263,G263,I263,K263,M263,O263)</f>
        <v>695.18032786885237</v>
      </c>
    </row>
    <row r="264" spans="2:16" x14ac:dyDescent="0.2">
      <c r="B264" s="76"/>
      <c r="C264" s="77"/>
      <c r="D264" s="77"/>
      <c r="E264" s="77"/>
      <c r="F264" s="77"/>
      <c r="G264" s="77"/>
      <c r="H264" s="77"/>
      <c r="I264" s="77"/>
      <c r="J264" s="77"/>
      <c r="K264" s="77"/>
      <c r="L264" s="77"/>
      <c r="M264" s="77"/>
      <c r="N264" s="77"/>
      <c r="O264" s="77"/>
      <c r="P264" s="76"/>
    </row>
    <row r="265" spans="2:16" ht="12.75" x14ac:dyDescent="0.25">
      <c r="B265" s="78">
        <f>N256+1</f>
        <v>13</v>
      </c>
      <c r="C265" s="79"/>
      <c r="D265" s="78">
        <f>B265+1</f>
        <v>14</v>
      </c>
      <c r="E265" s="79"/>
      <c r="F265" s="78">
        <f>D265+1</f>
        <v>15</v>
      </c>
      <c r="G265" s="79"/>
      <c r="H265" s="78">
        <f>F265+1</f>
        <v>16</v>
      </c>
      <c r="I265" s="79"/>
      <c r="J265" s="78">
        <f>H265+1</f>
        <v>17</v>
      </c>
      <c r="K265" s="79"/>
      <c r="L265" s="78">
        <f>J265+1</f>
        <v>18</v>
      </c>
      <c r="M265" s="79"/>
      <c r="N265" s="78">
        <f>L265+1</f>
        <v>19</v>
      </c>
      <c r="O265" s="79"/>
      <c r="P265" s="80"/>
    </row>
    <row r="266" spans="2:16" x14ac:dyDescent="0.25">
      <c r="B266" s="64" t="s">
        <v>42</v>
      </c>
      <c r="C266" s="81" t="s">
        <v>43</v>
      </c>
      <c r="D266" s="64" t="s">
        <v>42</v>
      </c>
      <c r="E266" s="81" t="s">
        <v>43</v>
      </c>
      <c r="F266" s="64" t="s">
        <v>42</v>
      </c>
      <c r="G266" s="81" t="s">
        <v>43</v>
      </c>
      <c r="H266" s="64" t="s">
        <v>42</v>
      </c>
      <c r="I266" s="81" t="s">
        <v>43</v>
      </c>
      <c r="J266" s="64" t="s">
        <v>42</v>
      </c>
      <c r="K266" s="81" t="s">
        <v>43</v>
      </c>
      <c r="L266" s="64" t="s">
        <v>42</v>
      </c>
      <c r="M266" s="81" t="s">
        <v>43</v>
      </c>
      <c r="N266" s="64" t="s">
        <v>42</v>
      </c>
      <c r="O266" s="82" t="s">
        <v>43</v>
      </c>
      <c r="P266" s="66"/>
    </row>
    <row r="267" spans="2:16" x14ac:dyDescent="0.25">
      <c r="B267" s="136" t="str">
        <f>IF(Tilmeldingsoversigt!$C$7="x",Morgenmad," ")</f>
        <v>Morgenmad</v>
      </c>
      <c r="C267" s="67">
        <f ca="1">IF(B267=Morgenmad,Tilmeldingsoversigt!$C$15," ")</f>
        <v>16.754098360655739</v>
      </c>
      <c r="D267" s="136" t="str">
        <f>IF(Tilmeldingsoversigt!$D$7="x",Morgenmad," ")</f>
        <v>Morgenmad</v>
      </c>
      <c r="E267" s="67">
        <f ca="1">IF(D267=Morgenmad,Tilmeldingsoversigt!$C$15," ")</f>
        <v>16.754098360655739</v>
      </c>
      <c r="F267" s="136" t="str">
        <f>IF(Tilmeldingsoversigt!$E$7="x",Morgenmad," ")</f>
        <v>Morgenmad</v>
      </c>
      <c r="G267" s="67">
        <f ca="1">IF(F267=Morgenmad,Tilmeldingsoversigt!$C$15," ")</f>
        <v>16.754098360655739</v>
      </c>
      <c r="H267" s="136" t="str">
        <f>IF(Tilmeldingsoversigt!$F$7="x",Morgenmad," ")</f>
        <v>Morgenmad</v>
      </c>
      <c r="I267" s="67">
        <f ca="1">IF(H267=Morgenmad,Tilmeldingsoversigt!$C$15," ")</f>
        <v>16.754098360655739</v>
      </c>
      <c r="J267" s="136" t="str">
        <f>IF(Tilmeldingsoversigt!$G$7="x",Morgenmad," ")</f>
        <v>Morgenmad</v>
      </c>
      <c r="K267" s="67">
        <f ca="1">IF(J267=Morgenmad,Tilmeldingsoversigt!$C$15," ")</f>
        <v>16.754098360655739</v>
      </c>
      <c r="L267" s="136" t="str">
        <f>IF(Tilmeldingsoversigt!$H$7="x",Morgenmad," ")</f>
        <v>Morgenmad</v>
      </c>
      <c r="M267" s="67">
        <f ca="1">IF(L267=Morgenmad,Tilmeldingsoversigt!$C$15," ")</f>
        <v>16.754098360655739</v>
      </c>
      <c r="N267" s="136" t="str">
        <f>IF(Tilmeldingsoversigt!$I$7="x",Morgenmad," ")</f>
        <v>Morgenmad</v>
      </c>
      <c r="O267" s="83">
        <f ca="1">IF(N267=Morgenmad,Tilmeldingsoversigt!$C$15," ")</f>
        <v>16.754098360655739</v>
      </c>
      <c r="P267" s="66"/>
    </row>
    <row r="268" spans="2:16" x14ac:dyDescent="0.25">
      <c r="B268" s="68" t="str">
        <f>IF(Tilmeldingsoversigt!$C$8="x",hovedret," ")</f>
        <v>Hovedret</v>
      </c>
      <c r="C268" s="69">
        <f ca="1">IF(B268=hovedret,Tilmeldingsoversigt!$C$16," ")</f>
        <v>55.016393442622949</v>
      </c>
      <c r="D268" s="68" t="str">
        <f>IF(Tilmeldingsoversigt!$D$8="x",hovedret," ")</f>
        <v>Hovedret</v>
      </c>
      <c r="E268" s="69">
        <f ca="1">IF(D268=hovedret,Tilmeldingsoversigt!$C$16," ")</f>
        <v>55.016393442622949</v>
      </c>
      <c r="F268" s="68" t="str">
        <f>IF(Tilmeldingsoversigt!$E$8="x",hovedret," ")</f>
        <v>Hovedret</v>
      </c>
      <c r="G268" s="69">
        <f ca="1">IF(F268=hovedret,Tilmeldingsoversigt!$C$16," ")</f>
        <v>55.016393442622949</v>
      </c>
      <c r="H268" s="68" t="str">
        <f>IF(Tilmeldingsoversigt!$F$8="x",hovedret," ")</f>
        <v>Hovedret</v>
      </c>
      <c r="I268" s="69">
        <f ca="1">IF(H268=hovedret,Tilmeldingsoversigt!$C$16," ")</f>
        <v>55.016393442622949</v>
      </c>
      <c r="J268" s="68" t="str">
        <f>IF(Tilmeldingsoversigt!$G$8="x",hovedret," ")</f>
        <v>Hovedret</v>
      </c>
      <c r="K268" s="69">
        <f ca="1">IF(J268=hovedret,Tilmeldingsoversigt!$C$16," ")</f>
        <v>55.016393442622949</v>
      </c>
      <c r="L268" s="68" t="str">
        <f>IF(Tilmeldingsoversigt!$H$8="x",hovedret," ")</f>
        <v>Hovedret</v>
      </c>
      <c r="M268" s="69">
        <f ca="1">IF(L268=hovedret,Tilmeldingsoversigt!$C$16," ")</f>
        <v>55.016393442622949</v>
      </c>
      <c r="N268" s="68" t="str">
        <f>IF(Tilmeldingsoversigt!$I$8="x",hovedret," ")</f>
        <v>Hovedret</v>
      </c>
      <c r="O268" s="70">
        <f ca="1">IF(N268=hovedret,Tilmeldingsoversigt!$C$16," ")</f>
        <v>55.016393442622949</v>
      </c>
      <c r="P268" s="66"/>
    </row>
    <row r="269" spans="2:16" x14ac:dyDescent="0.25">
      <c r="B269" s="68" t="str">
        <f>IF(Tilmeldingsoversigt!$C$9="x",Aftensmad," ")</f>
        <v>Aftensmad</v>
      </c>
      <c r="C269" s="69">
        <f ca="1">IF(B269=Aftensmad,Tilmeldingsoversigt!$C$17," ")</f>
        <v>27.540983606557376</v>
      </c>
      <c r="D269" s="68" t="str">
        <f>IF(Tilmeldingsoversigt!$D$9="x",Aftensmad," ")</f>
        <v>Aftensmad</v>
      </c>
      <c r="E269" s="69">
        <f ca="1">IF(D269=Aftensmad,Tilmeldingsoversigt!$C$17," ")</f>
        <v>27.540983606557376</v>
      </c>
      <c r="F269" s="68" t="str">
        <f>IF(Tilmeldingsoversigt!$E$9="x",Aftensmad," ")</f>
        <v>Aftensmad</v>
      </c>
      <c r="G269" s="69">
        <f ca="1">IF(F269=Aftensmad,Tilmeldingsoversigt!$C$17," ")</f>
        <v>27.540983606557376</v>
      </c>
      <c r="H269" s="68" t="str">
        <f>IF(Tilmeldingsoversigt!$F$9="x",Aftensmad," ")</f>
        <v>Aftensmad</v>
      </c>
      <c r="I269" s="69">
        <f ca="1">IF(H269=Aftensmad,Tilmeldingsoversigt!$C$17," ")</f>
        <v>27.540983606557376</v>
      </c>
      <c r="J269" s="68" t="str">
        <f>IF(Tilmeldingsoversigt!$G$9="x",Aftensmad," ")</f>
        <v>Aftensmad</v>
      </c>
      <c r="K269" s="69">
        <f ca="1">IF(J269=Aftensmad,Tilmeldingsoversigt!$C$17," ")</f>
        <v>27.540983606557376</v>
      </c>
      <c r="L269" s="68" t="str">
        <f>IF(Tilmeldingsoversigt!$H$9="x",Aftensmad," ")</f>
        <v>Aftensmad</v>
      </c>
      <c r="M269" s="69">
        <f ca="1">IF(L269=Aftensmad,Tilmeldingsoversigt!$C$17," ")</f>
        <v>27.540983606557376</v>
      </c>
      <c r="N269" s="68" t="str">
        <f>IF(Tilmeldingsoversigt!$I$9="x",Aftensmad," ")</f>
        <v>Aftensmad</v>
      </c>
      <c r="O269" s="70">
        <f ca="1">IF(N269=Aftensmad,Tilmeldingsoversigt!$C$17," ")</f>
        <v>27.540983606557376</v>
      </c>
      <c r="P269" s="66"/>
    </row>
    <row r="270" spans="2:16" x14ac:dyDescent="0.25">
      <c r="B270" s="68" t="str">
        <f>IF(Tilmeldingsoversigt!$C$10="x",biret," ")</f>
        <v>Biret</v>
      </c>
      <c r="C270" s="69">
        <f>IF(B270=biret,biretpris," ")</f>
        <v>0</v>
      </c>
      <c r="D270" s="68" t="str">
        <f>IF(Tilmeldingsoversigt!$D$10="x",biret," ")</f>
        <v>Biret</v>
      </c>
      <c r="E270" s="69">
        <f>IF(D270=biret,biretpris," ")</f>
        <v>0</v>
      </c>
      <c r="F270" s="68" t="str">
        <f>IF(Tilmeldingsoversigt!$E$10="x",biret," ")</f>
        <v>Biret</v>
      </c>
      <c r="G270" s="69">
        <f>IF(F270=biret,biretpris," ")</f>
        <v>0</v>
      </c>
      <c r="H270" s="68" t="str">
        <f>IF(Tilmeldingsoversigt!$F$10="x",biret," ")</f>
        <v>Biret</v>
      </c>
      <c r="I270" s="69">
        <f>IF(H270=biret,biretpris," ")</f>
        <v>0</v>
      </c>
      <c r="J270" s="68" t="str">
        <f>IF(Tilmeldingsoversigt!$G$10="x",biret," ")</f>
        <v>Biret</v>
      </c>
      <c r="K270" s="70">
        <f>IF(J270=biret,biretpris," ")</f>
        <v>0</v>
      </c>
      <c r="L270" s="68" t="str">
        <f>IF(Tilmeldingsoversigt!$H$10="x",biret," ")</f>
        <v>Biret</v>
      </c>
      <c r="M270" s="69">
        <f>IF(L270=biret,biretpris," ")</f>
        <v>0</v>
      </c>
      <c r="N270" s="68" t="str">
        <f>IF(Tilmeldingsoversigt!$I$10="x",biret," ")</f>
        <v>Biret</v>
      </c>
      <c r="O270" s="70">
        <f>IF(N270=biret,biretpris," ")</f>
        <v>0</v>
      </c>
      <c r="P270" s="66"/>
    </row>
    <row r="271" spans="2:16" x14ac:dyDescent="0.25">
      <c r="B271" s="71" t="str">
        <f>IF(Tilmeldingsoversigt!$C$11="x",mellemmåltid," ")</f>
        <v xml:space="preserve"> </v>
      </c>
      <c r="C271" s="69" t="str">
        <f>IF(B271=mellemmåltid,mellemmåltidspris," ")</f>
        <v xml:space="preserve"> </v>
      </c>
      <c r="D271" s="71" t="str">
        <f>IF(Tilmeldingsoversigt!$C$11="x",mellemmåltid," ")</f>
        <v xml:space="preserve"> </v>
      </c>
      <c r="E271" s="72" t="str">
        <f>IF(D271=mellemmåltid,mellemmåltidspris," ")</f>
        <v xml:space="preserve"> </v>
      </c>
      <c r="F271" s="71" t="str">
        <f>IF(Tilmeldingsoversigt!$C$11="x",mellemmåltid," ")</f>
        <v xml:space="preserve"> </v>
      </c>
      <c r="G271" s="72" t="str">
        <f>IF(F271=mellemmåltid,mellemmåltidspris," ")</f>
        <v xml:space="preserve"> </v>
      </c>
      <c r="H271" s="71" t="str">
        <f>IF(Tilmeldingsoversigt!$C$11="x",mellemmåltid," ")</f>
        <v xml:space="preserve"> </v>
      </c>
      <c r="I271" s="72" t="str">
        <f>IF(H271=mellemmåltid,mellemmåltidspris," ")</f>
        <v xml:space="preserve"> </v>
      </c>
      <c r="J271" s="71" t="str">
        <f>IF(Tilmeldingsoversigt!$C$11="x",mellemmåltid," ")</f>
        <v xml:space="preserve"> </v>
      </c>
      <c r="K271" s="73" t="str">
        <f>IF(J271=mellemmåltid,mellemmåltidspris," ")</f>
        <v xml:space="preserve"> </v>
      </c>
      <c r="L271" s="71" t="str">
        <f>IF(Tilmeldingsoversigt!$C$11="x",mellemmåltid," ")</f>
        <v xml:space="preserve"> </v>
      </c>
      <c r="M271" s="72" t="str">
        <f>IF(L271=mellemmåltid,mellemmåltidspris," ")</f>
        <v xml:space="preserve"> </v>
      </c>
      <c r="N271" s="71" t="str">
        <f>IF(Tilmeldingsoversigt!$C$11="x",mellemmåltid," ")</f>
        <v xml:space="preserve"> </v>
      </c>
      <c r="O271" s="73" t="str">
        <f>IF(N271=mellemmåltid,mellemmåltidspris," ")</f>
        <v xml:space="preserve"> </v>
      </c>
      <c r="P271" s="66"/>
    </row>
    <row r="272" spans="2:16" x14ac:dyDescent="0.25">
      <c r="B272" s="84" t="s">
        <v>44</v>
      </c>
      <c r="C272" s="11">
        <f ca="1">SUM(C267:C271)</f>
        <v>99.311475409836063</v>
      </c>
      <c r="D272" s="74"/>
      <c r="E272" s="11">
        <f ca="1">SUM(E267:E271)</f>
        <v>99.311475409836063</v>
      </c>
      <c r="F272" s="74"/>
      <c r="G272" s="11">
        <f ca="1">SUM(G267:G271)</f>
        <v>99.311475409836063</v>
      </c>
      <c r="H272" s="74"/>
      <c r="I272" s="11">
        <f ca="1">SUM(I267:I271)</f>
        <v>99.311475409836063</v>
      </c>
      <c r="J272" s="74"/>
      <c r="K272" s="11">
        <f ca="1">SUM(K267:K271)</f>
        <v>99.311475409836063</v>
      </c>
      <c r="L272" s="74"/>
      <c r="M272" s="11">
        <f ca="1">SUM(M267:M271)</f>
        <v>99.311475409836063</v>
      </c>
      <c r="N272" s="74"/>
      <c r="O272" s="12">
        <f ca="1">SUM(O267:O271)</f>
        <v>99.311475409836063</v>
      </c>
      <c r="P272" s="75">
        <f ca="1">SUM(C272,E272,G272,I272,K272,M272,O272)</f>
        <v>695.18032786885237</v>
      </c>
    </row>
    <row r="273" spans="2:16" x14ac:dyDescent="0.2">
      <c r="B273" s="76"/>
      <c r="C273" s="77"/>
      <c r="D273" s="77"/>
      <c r="E273" s="77"/>
      <c r="F273" s="77"/>
      <c r="G273" s="77"/>
      <c r="H273" s="77"/>
      <c r="I273" s="77"/>
      <c r="J273" s="77"/>
      <c r="K273" s="77"/>
      <c r="L273" s="77"/>
      <c r="M273" s="77"/>
      <c r="N273" s="77"/>
      <c r="O273" s="77"/>
      <c r="P273" s="76"/>
    </row>
    <row r="274" spans="2:16" ht="12.75" x14ac:dyDescent="0.25">
      <c r="B274" s="78">
        <f>N265+1</f>
        <v>20</v>
      </c>
      <c r="C274" s="79"/>
      <c r="D274" s="78">
        <f>B274+1</f>
        <v>21</v>
      </c>
      <c r="E274" s="79"/>
      <c r="F274" s="78">
        <f>D274+1</f>
        <v>22</v>
      </c>
      <c r="G274" s="79"/>
      <c r="H274" s="78">
        <f>F274+1</f>
        <v>23</v>
      </c>
      <c r="I274" s="79"/>
      <c r="J274" s="78">
        <f>H274+1</f>
        <v>24</v>
      </c>
      <c r="K274" s="79"/>
      <c r="L274" s="78">
        <f>J274+1</f>
        <v>25</v>
      </c>
      <c r="M274" s="79"/>
      <c r="N274" s="78">
        <f>L274+1</f>
        <v>26</v>
      </c>
      <c r="O274" s="79"/>
      <c r="P274" s="80"/>
    </row>
    <row r="275" spans="2:16" x14ac:dyDescent="0.25">
      <c r="B275" s="64" t="s">
        <v>42</v>
      </c>
      <c r="C275" s="81" t="s">
        <v>43</v>
      </c>
      <c r="D275" s="64" t="s">
        <v>42</v>
      </c>
      <c r="E275" s="81" t="s">
        <v>43</v>
      </c>
      <c r="F275" s="64" t="s">
        <v>42</v>
      </c>
      <c r="G275" s="81" t="s">
        <v>43</v>
      </c>
      <c r="H275" s="64" t="s">
        <v>42</v>
      </c>
      <c r="I275" s="81" t="s">
        <v>43</v>
      </c>
      <c r="J275" s="64" t="s">
        <v>42</v>
      </c>
      <c r="K275" s="81" t="s">
        <v>43</v>
      </c>
      <c r="L275" s="64" t="s">
        <v>42</v>
      </c>
      <c r="M275" s="81" t="s">
        <v>43</v>
      </c>
      <c r="N275" s="64" t="s">
        <v>42</v>
      </c>
      <c r="O275" s="82" t="s">
        <v>43</v>
      </c>
      <c r="P275" s="66"/>
    </row>
    <row r="276" spans="2:16" x14ac:dyDescent="0.25">
      <c r="B276" s="136" t="str">
        <f>IF(Tilmeldingsoversigt!$C$7="x",Morgenmad," ")</f>
        <v>Morgenmad</v>
      </c>
      <c r="C276" s="67">
        <f ca="1">IF(B276=Morgenmad,Tilmeldingsoversigt!$C$15," ")</f>
        <v>16.754098360655739</v>
      </c>
      <c r="D276" s="136" t="str">
        <f>IF(Tilmeldingsoversigt!$D$7="x",Morgenmad," ")</f>
        <v>Morgenmad</v>
      </c>
      <c r="E276" s="67">
        <f ca="1">IF(D276=Morgenmad,Tilmeldingsoversigt!$C$15," ")</f>
        <v>16.754098360655739</v>
      </c>
      <c r="F276" s="136" t="str">
        <f>IF(Tilmeldingsoversigt!$E$7="x",Morgenmad," ")</f>
        <v>Morgenmad</v>
      </c>
      <c r="G276" s="67">
        <f ca="1">IF(F276=Morgenmad,Tilmeldingsoversigt!$C$15," ")</f>
        <v>16.754098360655739</v>
      </c>
      <c r="H276" s="136" t="str">
        <f>IF(Tilmeldingsoversigt!$F$7="x",Morgenmad," ")</f>
        <v>Morgenmad</v>
      </c>
      <c r="I276" s="67">
        <f ca="1">IF(H276=Morgenmad,Tilmeldingsoversigt!$C$15," ")</f>
        <v>16.754098360655739</v>
      </c>
      <c r="J276" s="136" t="str">
        <f>IF(Tilmeldingsoversigt!$G$7="x",Morgenmad," ")</f>
        <v>Morgenmad</v>
      </c>
      <c r="K276" s="67">
        <f ca="1">IF(J276=Morgenmad,Tilmeldingsoversigt!$C$15," ")</f>
        <v>16.754098360655739</v>
      </c>
      <c r="L276" s="136" t="str">
        <f>IF(Tilmeldingsoversigt!$H$7="x",Morgenmad," ")</f>
        <v>Morgenmad</v>
      </c>
      <c r="M276" s="67">
        <f ca="1">IF(L276=Morgenmad,Tilmeldingsoversigt!$C$15," ")</f>
        <v>16.754098360655739</v>
      </c>
      <c r="N276" s="136" t="str">
        <f>IF(Tilmeldingsoversigt!$I$7="x",Morgenmad," ")</f>
        <v>Morgenmad</v>
      </c>
      <c r="O276" s="83">
        <f ca="1">IF(N276=Morgenmad,Tilmeldingsoversigt!$C$15," ")</f>
        <v>16.754098360655739</v>
      </c>
      <c r="P276" s="66"/>
    </row>
    <row r="277" spans="2:16" x14ac:dyDescent="0.25">
      <c r="B277" s="68" t="str">
        <f>IF(Tilmeldingsoversigt!$C$8="x",hovedret," ")</f>
        <v>Hovedret</v>
      </c>
      <c r="C277" s="69">
        <f ca="1">IF(B277=hovedret,Tilmeldingsoversigt!$C$16," ")</f>
        <v>55.016393442622949</v>
      </c>
      <c r="D277" s="68" t="str">
        <f>IF(Tilmeldingsoversigt!$D$8="x",hovedret," ")</f>
        <v>Hovedret</v>
      </c>
      <c r="E277" s="69">
        <f ca="1">IF(D277=hovedret,Tilmeldingsoversigt!$C$16," ")</f>
        <v>55.016393442622949</v>
      </c>
      <c r="F277" s="68" t="str">
        <f>IF(Tilmeldingsoversigt!$E$8="x",hovedret," ")</f>
        <v>Hovedret</v>
      </c>
      <c r="G277" s="69">
        <f ca="1">IF(F277=hovedret,Tilmeldingsoversigt!$C$16," ")</f>
        <v>55.016393442622949</v>
      </c>
      <c r="H277" s="68" t="str">
        <f>IF(Tilmeldingsoversigt!$F$8="x",hovedret," ")</f>
        <v>Hovedret</v>
      </c>
      <c r="I277" s="69">
        <f ca="1">IF(H277=hovedret,Tilmeldingsoversigt!$C$16," ")</f>
        <v>55.016393442622949</v>
      </c>
      <c r="J277" s="68" t="str">
        <f>IF(Tilmeldingsoversigt!$G$8="x",hovedret," ")</f>
        <v>Hovedret</v>
      </c>
      <c r="K277" s="69">
        <f ca="1">IF(J277=hovedret,Tilmeldingsoversigt!$C$16," ")</f>
        <v>55.016393442622949</v>
      </c>
      <c r="L277" s="68" t="str">
        <f>IF(Tilmeldingsoversigt!$H$8="x",hovedret," ")</f>
        <v>Hovedret</v>
      </c>
      <c r="M277" s="69">
        <f ca="1">IF(L277=hovedret,Tilmeldingsoversigt!$C$16," ")</f>
        <v>55.016393442622949</v>
      </c>
      <c r="N277" s="68" t="str">
        <f>IF(Tilmeldingsoversigt!$I$8="x",hovedret," ")</f>
        <v>Hovedret</v>
      </c>
      <c r="O277" s="70">
        <f ca="1">IF(N277=hovedret,Tilmeldingsoversigt!$C$16," ")</f>
        <v>55.016393442622949</v>
      </c>
      <c r="P277" s="66"/>
    </row>
    <row r="278" spans="2:16" x14ac:dyDescent="0.25">
      <c r="B278" s="68" t="str">
        <f>IF(Tilmeldingsoversigt!$C$9="x",Aftensmad," ")</f>
        <v>Aftensmad</v>
      </c>
      <c r="C278" s="69">
        <f ca="1">IF(B278=Aftensmad,Tilmeldingsoversigt!$C$17," ")</f>
        <v>27.540983606557376</v>
      </c>
      <c r="D278" s="68" t="str">
        <f>IF(Tilmeldingsoversigt!$D$9="x",Aftensmad," ")</f>
        <v>Aftensmad</v>
      </c>
      <c r="E278" s="69">
        <f ca="1">IF(D278=Aftensmad,Tilmeldingsoversigt!$C$17," ")</f>
        <v>27.540983606557376</v>
      </c>
      <c r="F278" s="68" t="str">
        <f>IF(Tilmeldingsoversigt!$E$9="x",Aftensmad," ")</f>
        <v>Aftensmad</v>
      </c>
      <c r="G278" s="69">
        <f ca="1">IF(F278=Aftensmad,Tilmeldingsoversigt!$C$17," ")</f>
        <v>27.540983606557376</v>
      </c>
      <c r="H278" s="68" t="str">
        <f>IF(Tilmeldingsoversigt!$F$9="x",Aftensmad," ")</f>
        <v>Aftensmad</v>
      </c>
      <c r="I278" s="69">
        <f ca="1">IF(H278=Aftensmad,Tilmeldingsoversigt!$C$17," ")</f>
        <v>27.540983606557376</v>
      </c>
      <c r="J278" s="68" t="str">
        <f>IF(Tilmeldingsoversigt!$G$9="x",Aftensmad," ")</f>
        <v>Aftensmad</v>
      </c>
      <c r="K278" s="69">
        <f ca="1">IF(J278=Aftensmad,Tilmeldingsoversigt!$C$17," ")</f>
        <v>27.540983606557376</v>
      </c>
      <c r="L278" s="68" t="str">
        <f>IF(Tilmeldingsoversigt!$H$9="x",Aftensmad," ")</f>
        <v>Aftensmad</v>
      </c>
      <c r="M278" s="69">
        <f ca="1">IF(L278=Aftensmad,Tilmeldingsoversigt!$C$17," ")</f>
        <v>27.540983606557376</v>
      </c>
      <c r="N278" s="68" t="str">
        <f>IF(Tilmeldingsoversigt!$I$9="x",Aftensmad," ")</f>
        <v>Aftensmad</v>
      </c>
      <c r="O278" s="70">
        <f ca="1">IF(N278=Aftensmad,Tilmeldingsoversigt!$C$17," ")</f>
        <v>27.540983606557376</v>
      </c>
      <c r="P278" s="66"/>
    </row>
    <row r="279" spans="2:16" x14ac:dyDescent="0.25">
      <c r="B279" s="68" t="str">
        <f>IF(Tilmeldingsoversigt!$C$10="x",biret," ")</f>
        <v>Biret</v>
      </c>
      <c r="C279" s="69">
        <f>IF(B279=biret,biretpris," ")</f>
        <v>0</v>
      </c>
      <c r="D279" s="68" t="str">
        <f>IF(Tilmeldingsoversigt!$D$10="x",biret," ")</f>
        <v>Biret</v>
      </c>
      <c r="E279" s="69">
        <f>IF(D279=biret,biretpris," ")</f>
        <v>0</v>
      </c>
      <c r="F279" s="68" t="str">
        <f>IF(Tilmeldingsoversigt!$E$10="x",biret," ")</f>
        <v>Biret</v>
      </c>
      <c r="G279" s="69">
        <f>IF(F279=biret,biretpris," ")</f>
        <v>0</v>
      </c>
      <c r="H279" s="68" t="str">
        <f>IF(Tilmeldingsoversigt!$F$10="x",biret," ")</f>
        <v>Biret</v>
      </c>
      <c r="I279" s="69">
        <f>IF(H279=biret,biretpris," ")</f>
        <v>0</v>
      </c>
      <c r="J279" s="68" t="str">
        <f>IF(Tilmeldingsoversigt!$G$10="x",biret," ")</f>
        <v>Biret</v>
      </c>
      <c r="K279" s="70">
        <f>IF(J279=biret,biretpris," ")</f>
        <v>0</v>
      </c>
      <c r="L279" s="68" t="str">
        <f>IF(Tilmeldingsoversigt!$H$10="x",biret," ")</f>
        <v>Biret</v>
      </c>
      <c r="M279" s="69">
        <f>IF(L279=biret,biretpris," ")</f>
        <v>0</v>
      </c>
      <c r="N279" s="68" t="str">
        <f>IF(Tilmeldingsoversigt!$I$10="x",biret," ")</f>
        <v>Biret</v>
      </c>
      <c r="O279" s="70">
        <f>IF(N279=biret,biretpris," ")</f>
        <v>0</v>
      </c>
      <c r="P279" s="66"/>
    </row>
    <row r="280" spans="2:16" x14ac:dyDescent="0.25">
      <c r="B280" s="71" t="str">
        <f>IF(Tilmeldingsoversigt!$C$11="x",mellemmåltid," ")</f>
        <v xml:space="preserve"> </v>
      </c>
      <c r="C280" s="69" t="str">
        <f>IF(B280=mellemmåltid,mellemmåltidspris," ")</f>
        <v xml:space="preserve"> </v>
      </c>
      <c r="D280" s="71" t="str">
        <f>IF(Tilmeldingsoversigt!$C$11="x",mellemmåltid," ")</f>
        <v xml:space="preserve"> </v>
      </c>
      <c r="E280" s="72" t="str">
        <f>IF(D280=mellemmåltid,mellemmåltidspris," ")</f>
        <v xml:space="preserve"> </v>
      </c>
      <c r="F280" s="71" t="str">
        <f>IF(Tilmeldingsoversigt!$C$11="x",mellemmåltid," ")</f>
        <v xml:space="preserve"> </v>
      </c>
      <c r="G280" s="72" t="str">
        <f>IF(F280=mellemmåltid,mellemmåltidspris," ")</f>
        <v xml:space="preserve"> </v>
      </c>
      <c r="H280" s="71" t="str">
        <f>IF(Tilmeldingsoversigt!$C$11="x",mellemmåltid," ")</f>
        <v xml:space="preserve"> </v>
      </c>
      <c r="I280" s="72" t="str">
        <f>IF(H280=mellemmåltid,mellemmåltidspris," ")</f>
        <v xml:space="preserve"> </v>
      </c>
      <c r="J280" s="71" t="str">
        <f>IF(Tilmeldingsoversigt!$C$11="x",mellemmåltid," ")</f>
        <v xml:space="preserve"> </v>
      </c>
      <c r="K280" s="73" t="str">
        <f>IF(J280=mellemmåltid,mellemmåltidspris," ")</f>
        <v xml:space="preserve"> </v>
      </c>
      <c r="L280" s="71" t="str">
        <f>IF(Tilmeldingsoversigt!$C$11="x",mellemmåltid," ")</f>
        <v xml:space="preserve"> </v>
      </c>
      <c r="M280" s="72" t="str">
        <f>IF(L280=mellemmåltid,mellemmåltidspris," ")</f>
        <v xml:space="preserve"> </v>
      </c>
      <c r="N280" s="71" t="str">
        <f>IF(Tilmeldingsoversigt!$C$11="x",mellemmåltid," ")</f>
        <v xml:space="preserve"> </v>
      </c>
      <c r="O280" s="73" t="str">
        <f>IF(N280=mellemmåltid,mellemmåltidspris," ")</f>
        <v xml:space="preserve"> </v>
      </c>
      <c r="P280" s="66"/>
    </row>
    <row r="281" spans="2:16" x14ac:dyDescent="0.25">
      <c r="B281" s="74" t="s">
        <v>44</v>
      </c>
      <c r="C281" s="11">
        <f ca="1">SUM(C276:C280)</f>
        <v>99.311475409836063</v>
      </c>
      <c r="D281" s="74"/>
      <c r="E281" s="11">
        <f ca="1">SUM(E276:E280)</f>
        <v>99.311475409836063</v>
      </c>
      <c r="F281" s="74"/>
      <c r="G281" s="11">
        <f ca="1">SUM(G276:G280)</f>
        <v>99.311475409836063</v>
      </c>
      <c r="H281" s="74"/>
      <c r="I281" s="11">
        <f ca="1">SUM(I276:I280)</f>
        <v>99.311475409836063</v>
      </c>
      <c r="J281" s="74"/>
      <c r="K281" s="11">
        <f ca="1">SUM(K276:K280)</f>
        <v>99.311475409836063</v>
      </c>
      <c r="L281" s="74"/>
      <c r="M281" s="11">
        <f ca="1">SUM(M276:M280)</f>
        <v>99.311475409836063</v>
      </c>
      <c r="N281" s="74"/>
      <c r="O281" s="12">
        <f ca="1">SUM(O276:O280)</f>
        <v>99.311475409836063</v>
      </c>
      <c r="P281" s="75">
        <f ca="1">SUM(C281,E281,G281,I281,K281,M281,O281)</f>
        <v>695.18032786885237</v>
      </c>
    </row>
    <row r="282" spans="2:16" x14ac:dyDescent="0.2">
      <c r="B282" s="76"/>
      <c r="C282" s="77"/>
      <c r="D282" s="77"/>
      <c r="E282" s="77"/>
      <c r="F282" s="77"/>
      <c r="G282" s="77"/>
      <c r="H282" s="77"/>
      <c r="I282" s="77"/>
      <c r="J282" s="77"/>
      <c r="K282" s="77"/>
      <c r="L282" s="77"/>
      <c r="M282" s="77"/>
      <c r="N282" s="77"/>
      <c r="O282" s="77"/>
      <c r="P282" s="76"/>
    </row>
    <row r="283" spans="2:16" ht="12.75" x14ac:dyDescent="0.25">
      <c r="B283" s="78">
        <f>DAY(IF(DAY(MajSøn1)=1,MajSøn1+22,MajSøn1+29))</f>
        <v>27</v>
      </c>
      <c r="C283" s="79"/>
      <c r="D283" s="78">
        <f>DAY(IF(DAY(MajSøn1)=1,MajSøn1+23,MajSøn1+30))</f>
        <v>28</v>
      </c>
      <c r="E283" s="79"/>
      <c r="F283" s="78">
        <f>DAY(IF(DAY(MajSøn1)=1,MajSøn1+24,MajSøn1+31))</f>
        <v>29</v>
      </c>
      <c r="G283" s="79"/>
      <c r="H283" s="78">
        <f>DAY(IF(DAY(MajSøn1)=1,MajSøn1+25,MajSøn1+32))</f>
        <v>30</v>
      </c>
      <c r="I283" s="79"/>
      <c r="J283" s="78">
        <f>DAY(IF(DAY(MajSøn1)=1,MajSøn1+26,MajSøn1+33))</f>
        <v>31</v>
      </c>
      <c r="K283" s="79"/>
      <c r="L283" s="78">
        <f>DAY(IF(DAY(MajSøn1)=1,MajSøn1+27,MajSøn1+34))</f>
        <v>1</v>
      </c>
      <c r="M283" s="79"/>
      <c r="N283" s="78">
        <f>DAY(IF(DAY(MajSøn1)=1,MajSøn1+28,MajSøn1+35))</f>
        <v>2</v>
      </c>
      <c r="O283" s="79"/>
      <c r="P283" s="85"/>
    </row>
    <row r="284" spans="2:16" x14ac:dyDescent="0.25">
      <c r="B284" s="64" t="s">
        <v>42</v>
      </c>
      <c r="C284" s="81" t="s">
        <v>43</v>
      </c>
      <c r="D284" s="64" t="s">
        <v>42</v>
      </c>
      <c r="E284" s="81" t="s">
        <v>43</v>
      </c>
      <c r="F284" s="64" t="s">
        <v>42</v>
      </c>
      <c r="G284" s="81" t="s">
        <v>43</v>
      </c>
      <c r="H284" s="64" t="s">
        <v>42</v>
      </c>
      <c r="I284" s="81" t="s">
        <v>43</v>
      </c>
      <c r="J284" s="64" t="s">
        <v>42</v>
      </c>
      <c r="K284" s="81" t="s">
        <v>43</v>
      </c>
      <c r="L284" s="64" t="s">
        <v>42</v>
      </c>
      <c r="M284" s="81" t="s">
        <v>43</v>
      </c>
      <c r="N284" s="64" t="s">
        <v>42</v>
      </c>
      <c r="O284" s="82" t="s">
        <v>43</v>
      </c>
      <c r="P284" s="66"/>
    </row>
    <row r="285" spans="2:16" x14ac:dyDescent="0.25">
      <c r="B285" s="136" t="str">
        <f>IF(Tilmeldingsoversigt!$C$7="x",Morgenmad," ")</f>
        <v>Morgenmad</v>
      </c>
      <c r="C285" s="67">
        <f ca="1">IF(B285=Morgenmad,Tilmeldingsoversigt!$C$15," ")</f>
        <v>16.754098360655739</v>
      </c>
      <c r="D285" s="136" t="str">
        <f>IF(Tilmeldingsoversigt!$D$7="x",Morgenmad," ")</f>
        <v>Morgenmad</v>
      </c>
      <c r="E285" s="67">
        <f ca="1">IF(D285=Morgenmad,Tilmeldingsoversigt!$C$15," ")</f>
        <v>16.754098360655739</v>
      </c>
      <c r="F285" s="136" t="str">
        <f>IF(Tilmeldingsoversigt!$E$7="x",Morgenmad," ")</f>
        <v>Morgenmad</v>
      </c>
      <c r="G285" s="67">
        <f ca="1">IF(F285=Morgenmad,Tilmeldingsoversigt!$C$15," ")</f>
        <v>16.754098360655739</v>
      </c>
      <c r="H285" s="136" t="str">
        <f>IF(Tilmeldingsoversigt!$F$7="x",Morgenmad," ")</f>
        <v>Morgenmad</v>
      </c>
      <c r="I285" s="67">
        <f ca="1">IF(H285=Morgenmad,Tilmeldingsoversigt!$C$15," ")</f>
        <v>16.754098360655739</v>
      </c>
      <c r="J285" s="136" t="str">
        <f>IF(Tilmeldingsoversigt!$G$7="x",Morgenmad," ")</f>
        <v>Morgenmad</v>
      </c>
      <c r="K285" s="67">
        <f ca="1">IF(J285=Morgenmad,Tilmeldingsoversigt!$C$15," ")</f>
        <v>16.754098360655739</v>
      </c>
      <c r="L285" s="136" t="str">
        <f>IF(Tilmeldingsoversigt!$H$7="x",Morgenmad," ")</f>
        <v>Morgenmad</v>
      </c>
      <c r="M285" s="67">
        <f ca="1">IF(L285=Morgenmad,Tilmeldingsoversigt!$C$15," ")</f>
        <v>16.754098360655739</v>
      </c>
      <c r="N285" s="139" t="str">
        <f>IF(Tilmeldingsoversigt!$I$7="x",Morgenmad," ")</f>
        <v>Morgenmad</v>
      </c>
      <c r="O285" s="86">
        <f ca="1">IF(N285=Morgenmad,Tilmeldingsoversigt!$C$15," ")</f>
        <v>16.754098360655739</v>
      </c>
      <c r="P285" s="66"/>
    </row>
    <row r="286" spans="2:16" x14ac:dyDescent="0.25">
      <c r="B286" s="68" t="str">
        <f>IF(Tilmeldingsoversigt!$C$8="x",hovedret," ")</f>
        <v>Hovedret</v>
      </c>
      <c r="C286" s="69">
        <f ca="1">IF(B286=hovedret,Tilmeldingsoversigt!$C$16," ")</f>
        <v>55.016393442622949</v>
      </c>
      <c r="D286" s="68" t="str">
        <f>IF(Tilmeldingsoversigt!$D$8="x",hovedret," ")</f>
        <v>Hovedret</v>
      </c>
      <c r="E286" s="69">
        <f ca="1">IF(D286=hovedret,Tilmeldingsoversigt!$C$16," ")</f>
        <v>55.016393442622949</v>
      </c>
      <c r="F286" s="68" t="str">
        <f>IF(Tilmeldingsoversigt!$E$8="x",hovedret," ")</f>
        <v>Hovedret</v>
      </c>
      <c r="G286" s="69">
        <f ca="1">IF(F286=hovedret,Tilmeldingsoversigt!$C$16," ")</f>
        <v>55.016393442622949</v>
      </c>
      <c r="H286" s="68" t="str">
        <f>IF(Tilmeldingsoversigt!$F$8="x",hovedret," ")</f>
        <v>Hovedret</v>
      </c>
      <c r="I286" s="69">
        <f ca="1">IF(H286=hovedret,Tilmeldingsoversigt!$C$16," ")</f>
        <v>55.016393442622949</v>
      </c>
      <c r="J286" s="68" t="str">
        <f>IF(Tilmeldingsoversigt!$G$8="x",hovedret," ")</f>
        <v>Hovedret</v>
      </c>
      <c r="K286" s="69">
        <f ca="1">IF(J286=hovedret,Tilmeldingsoversigt!$C$16," ")</f>
        <v>55.016393442622949</v>
      </c>
      <c r="L286" s="68" t="str">
        <f>IF(Tilmeldingsoversigt!$H$8="x",hovedret," ")</f>
        <v>Hovedret</v>
      </c>
      <c r="M286" s="69">
        <f ca="1">IF(L286=hovedret,Tilmeldingsoversigt!$C$16," ")</f>
        <v>55.016393442622949</v>
      </c>
      <c r="N286" s="87" t="str">
        <f>IF(Tilmeldingsoversigt!$I$8="x",hovedret," ")</f>
        <v>Hovedret</v>
      </c>
      <c r="O286" s="88">
        <f ca="1">IF(N286=hovedret,Tilmeldingsoversigt!$C$16," ")</f>
        <v>55.016393442622949</v>
      </c>
      <c r="P286" s="66"/>
    </row>
    <row r="287" spans="2:16" x14ac:dyDescent="0.25">
      <c r="B287" s="68" t="str">
        <f>IF(Tilmeldingsoversigt!$C$9="x",Aftensmad," ")</f>
        <v>Aftensmad</v>
      </c>
      <c r="C287" s="69">
        <f ca="1">IF(B287=Aftensmad,Tilmeldingsoversigt!$C$17," ")</f>
        <v>27.540983606557376</v>
      </c>
      <c r="D287" s="68" t="str">
        <f>IF(Tilmeldingsoversigt!$D$9="x",Aftensmad," ")</f>
        <v>Aftensmad</v>
      </c>
      <c r="E287" s="69">
        <f ca="1">IF(D287=Aftensmad,Tilmeldingsoversigt!$C$17," ")</f>
        <v>27.540983606557376</v>
      </c>
      <c r="F287" s="68" t="str">
        <f>IF(Tilmeldingsoversigt!$E$9="x",Aftensmad," ")</f>
        <v>Aftensmad</v>
      </c>
      <c r="G287" s="69">
        <f ca="1">IF(F287=Aftensmad,Tilmeldingsoversigt!$C$17," ")</f>
        <v>27.540983606557376</v>
      </c>
      <c r="H287" s="68" t="str">
        <f>IF(Tilmeldingsoversigt!$F$9="x",Aftensmad," ")</f>
        <v>Aftensmad</v>
      </c>
      <c r="I287" s="69">
        <f ca="1">IF(H287=Aftensmad,Tilmeldingsoversigt!$C$17," ")</f>
        <v>27.540983606557376</v>
      </c>
      <c r="J287" s="68" t="str">
        <f>IF(Tilmeldingsoversigt!$G$9="x",Aftensmad," ")</f>
        <v>Aftensmad</v>
      </c>
      <c r="K287" s="69">
        <f ca="1">IF(J287=Aftensmad,Tilmeldingsoversigt!$C$17," ")</f>
        <v>27.540983606557376</v>
      </c>
      <c r="L287" s="68" t="str">
        <f>IF(Tilmeldingsoversigt!$H$9="x",Aftensmad," ")</f>
        <v>Aftensmad</v>
      </c>
      <c r="M287" s="69">
        <f ca="1">IF(L287=Aftensmad,Tilmeldingsoversigt!$C$17," ")</f>
        <v>27.540983606557376</v>
      </c>
      <c r="N287" s="87" t="str">
        <f>IF(Tilmeldingsoversigt!$I$9="x",Aftensmad," ")</f>
        <v>Aftensmad</v>
      </c>
      <c r="O287" s="88">
        <f ca="1">IF(N287=Aftensmad,Tilmeldingsoversigt!$C$17," ")</f>
        <v>27.540983606557376</v>
      </c>
      <c r="P287" s="66"/>
    </row>
    <row r="288" spans="2:16" x14ac:dyDescent="0.25">
      <c r="B288" s="68" t="str">
        <f>IF(Tilmeldingsoversigt!$C$10="x",biret," ")</f>
        <v>Biret</v>
      </c>
      <c r="C288" s="69">
        <f>IF(B288=biret,biretpris," ")</f>
        <v>0</v>
      </c>
      <c r="D288" s="68" t="str">
        <f>IF(Tilmeldingsoversigt!$D$10="x",biret," ")</f>
        <v>Biret</v>
      </c>
      <c r="E288" s="69">
        <f>IF(D288=biret,biretpris," ")</f>
        <v>0</v>
      </c>
      <c r="F288" s="68" t="str">
        <f>IF(Tilmeldingsoversigt!$E$10="x",biret," ")</f>
        <v>Biret</v>
      </c>
      <c r="G288" s="69">
        <f>IF(F288=biret,biretpris," ")</f>
        <v>0</v>
      </c>
      <c r="H288" s="68" t="str">
        <f>IF(Tilmeldingsoversigt!$F$10="x",biret," ")</f>
        <v>Biret</v>
      </c>
      <c r="I288" s="69">
        <f>IF(H288=biret,biretpris," ")</f>
        <v>0</v>
      </c>
      <c r="J288" s="68" t="str">
        <f>IF(Tilmeldingsoversigt!$G$10="x",biret," ")</f>
        <v>Biret</v>
      </c>
      <c r="K288" s="70">
        <f>IF(J288=biret,biretpris," ")</f>
        <v>0</v>
      </c>
      <c r="L288" s="68" t="str">
        <f>IF(Tilmeldingsoversigt!$H$10="x",biret," ")</f>
        <v>Biret</v>
      </c>
      <c r="M288" s="69">
        <f>IF(L288=biret,biretpris," ")</f>
        <v>0</v>
      </c>
      <c r="N288" s="68" t="str">
        <f>IF(Tilmeldingsoversigt!$I$10="x",biret," ")</f>
        <v>Biret</v>
      </c>
      <c r="O288" s="70">
        <f>IF(N288=biret,biretpris," ")</f>
        <v>0</v>
      </c>
      <c r="P288" s="66"/>
    </row>
    <row r="289" spans="2:16" x14ac:dyDescent="0.25">
      <c r="B289" s="71" t="str">
        <f>IF(Tilmeldingsoversigt!$C$11="x",mellemmåltid," ")</f>
        <v xml:space="preserve"> </v>
      </c>
      <c r="C289" s="69" t="str">
        <f>IF(B289=mellemmåltid,mellemmåltidspris," ")</f>
        <v xml:space="preserve"> </v>
      </c>
      <c r="D289" s="71" t="str">
        <f>IF(Tilmeldingsoversigt!$C$11="x",mellemmåltid," ")</f>
        <v xml:space="preserve"> </v>
      </c>
      <c r="E289" s="72" t="str">
        <f>IF(D289=mellemmåltid,mellemmåltidspris," ")</f>
        <v xml:space="preserve"> </v>
      </c>
      <c r="F289" s="71" t="str">
        <f>IF(Tilmeldingsoversigt!$C$11="x",mellemmåltid," ")</f>
        <v xml:space="preserve"> </v>
      </c>
      <c r="G289" s="72" t="str">
        <f>IF(F289=mellemmåltid,mellemmåltidspris," ")</f>
        <v xml:space="preserve"> </v>
      </c>
      <c r="H289" s="71" t="str">
        <f>IF(Tilmeldingsoversigt!$C$11="x",mellemmåltid," ")</f>
        <v xml:space="preserve"> </v>
      </c>
      <c r="I289" s="72" t="str">
        <f>IF(H289=mellemmåltid,mellemmåltidspris," ")</f>
        <v xml:space="preserve"> </v>
      </c>
      <c r="J289" s="71" t="str">
        <f>IF(Tilmeldingsoversigt!$C$11="x",mellemmåltid," ")</f>
        <v xml:space="preserve"> </v>
      </c>
      <c r="K289" s="73" t="str">
        <f>IF(J289=mellemmåltid,mellemmåltidspris," ")</f>
        <v xml:space="preserve"> </v>
      </c>
      <c r="L289" s="71" t="str">
        <f>IF(Tilmeldingsoversigt!$C$11="x",mellemmåltid," ")</f>
        <v xml:space="preserve"> </v>
      </c>
      <c r="M289" s="72" t="str">
        <f>IF(L289=mellemmåltid,mellemmåltidspris," ")</f>
        <v xml:space="preserve"> </v>
      </c>
      <c r="N289" s="71" t="str">
        <f>IF(Tilmeldingsoversigt!$C$11="x",mellemmåltid," ")</f>
        <v xml:space="preserve"> </v>
      </c>
      <c r="O289" s="73" t="str">
        <f>IF(N289=mellemmåltid,mellemmåltidspris," ")</f>
        <v xml:space="preserve"> </v>
      </c>
      <c r="P289" s="66"/>
    </row>
    <row r="290" spans="2:16" x14ac:dyDescent="0.25">
      <c r="B290" s="74" t="s">
        <v>44</v>
      </c>
      <c r="C290" s="11">
        <f ca="1">SUM(C285:C289)</f>
        <v>99.311475409836063</v>
      </c>
      <c r="D290" s="74"/>
      <c r="E290" s="11">
        <f ca="1">SUM(E285:E289)</f>
        <v>99.311475409836063</v>
      </c>
      <c r="F290" s="74"/>
      <c r="G290" s="11">
        <f ca="1">SUM(G285:G289)</f>
        <v>99.311475409836063</v>
      </c>
      <c r="H290" s="74"/>
      <c r="I290" s="11">
        <f ca="1">SUM(I285:I289)</f>
        <v>99.311475409836063</v>
      </c>
      <c r="J290" s="74"/>
      <c r="K290" s="11">
        <f ca="1">SUM(K285:K289)</f>
        <v>99.311475409836063</v>
      </c>
      <c r="L290" s="74"/>
      <c r="M290" s="11">
        <f ca="1">SUM(M285:M289)</f>
        <v>99.311475409836063</v>
      </c>
      <c r="N290" s="74"/>
      <c r="O290" s="12">
        <f ca="1">SUM(O285:O289)</f>
        <v>99.311475409836063</v>
      </c>
      <c r="P290" s="75">
        <f ca="1">SUMIF(B283:N283,"&gt;="&amp;15,C290:O290)</f>
        <v>496.55737704918033</v>
      </c>
    </row>
    <row r="291" spans="2:16" x14ac:dyDescent="0.2">
      <c r="B291" s="76"/>
      <c r="C291" s="77"/>
      <c r="D291" s="77"/>
      <c r="E291" s="77"/>
      <c r="F291" s="77"/>
      <c r="G291" s="77"/>
      <c r="H291" s="77"/>
      <c r="I291" s="77"/>
      <c r="J291" s="77"/>
      <c r="K291" s="77"/>
      <c r="L291" s="77"/>
      <c r="M291" s="77"/>
      <c r="N291" s="77"/>
      <c r="O291" s="77"/>
      <c r="P291" s="76"/>
    </row>
    <row r="292" spans="2:16" ht="12.75" x14ac:dyDescent="0.25">
      <c r="B292" s="78">
        <f>DAY(IF(DAY(MajSøn1)=1,MajSøn1+29,MajSøn1+36))</f>
        <v>3</v>
      </c>
      <c r="C292" s="91"/>
      <c r="D292" s="78">
        <f>DAY(IF(DAY(MajSøn1)=1,MajSøn1+30,MajSøn1+37))</f>
        <v>4</v>
      </c>
      <c r="E292" s="79"/>
      <c r="F292" s="92">
        <f>DAY(IF(DAY(MajSøn1)=1,MajSøn1+31,MajSøn1+38))</f>
        <v>5</v>
      </c>
      <c r="G292" s="79"/>
      <c r="H292" s="78">
        <f>DAY(IF(DAY(MajSøn1)=1,MajSøn1+32,MajSøn1+39))</f>
        <v>6</v>
      </c>
      <c r="I292" s="79"/>
      <c r="J292" s="78">
        <f>DAY(IF(DAY(MajSøn1)=1,MajSøn1+33,MajSøn1+40))</f>
        <v>7</v>
      </c>
      <c r="K292" s="79"/>
      <c r="L292" s="78">
        <f>DAY(IF(DAY(MajSøn1)=1,MajSøn1+34,MajSøn1+41))</f>
        <v>8</v>
      </c>
      <c r="M292" s="79"/>
      <c r="N292" s="78">
        <f>DAY(IF(DAY(MajSøn1)=1,MajSøn1+35,MajSøn1+42))</f>
        <v>9</v>
      </c>
      <c r="O292" s="79"/>
      <c r="P292" s="85"/>
    </row>
    <row r="293" spans="2:16" x14ac:dyDescent="0.25">
      <c r="B293" s="64" t="s">
        <v>42</v>
      </c>
      <c r="C293" s="81" t="s">
        <v>43</v>
      </c>
      <c r="D293" s="64" t="s">
        <v>42</v>
      </c>
      <c r="E293" s="81" t="s">
        <v>43</v>
      </c>
      <c r="F293" s="64" t="s">
        <v>42</v>
      </c>
      <c r="G293" s="81" t="s">
        <v>43</v>
      </c>
      <c r="H293" s="64" t="s">
        <v>42</v>
      </c>
      <c r="I293" s="81" t="s">
        <v>43</v>
      </c>
      <c r="J293" s="64" t="s">
        <v>42</v>
      </c>
      <c r="K293" s="81" t="s">
        <v>43</v>
      </c>
      <c r="L293" s="64" t="s">
        <v>42</v>
      </c>
      <c r="M293" s="81" t="s">
        <v>43</v>
      </c>
      <c r="N293" s="64" t="s">
        <v>42</v>
      </c>
      <c r="O293" s="82" t="s">
        <v>43</v>
      </c>
      <c r="P293" s="66"/>
    </row>
    <row r="294" spans="2:16" x14ac:dyDescent="0.25">
      <c r="B294" s="136" t="str">
        <f>IF(Tilmeldingsoversigt!$C$7="x",Morgenmad," ")</f>
        <v>Morgenmad</v>
      </c>
      <c r="C294" s="67">
        <f ca="1">IF(B294=Morgenmad,Tilmeldingsoversigt!$C$15," ")</f>
        <v>16.754098360655739</v>
      </c>
      <c r="D294" s="136" t="str">
        <f>IF(Tilmeldingsoversigt!$D$7="x",Morgenmad," ")</f>
        <v>Morgenmad</v>
      </c>
      <c r="E294" s="67">
        <f ca="1">IF(D294=Morgenmad,Tilmeldingsoversigt!$C$15," ")</f>
        <v>16.754098360655739</v>
      </c>
      <c r="F294" s="136"/>
      <c r="G294" s="67"/>
      <c r="H294" s="136"/>
      <c r="I294" s="67"/>
      <c r="J294" s="136"/>
      <c r="K294" s="67"/>
      <c r="L294" s="136"/>
      <c r="M294" s="67"/>
      <c r="N294" s="136"/>
      <c r="O294" s="83"/>
      <c r="P294" s="66"/>
    </row>
    <row r="295" spans="2:16" x14ac:dyDescent="0.25">
      <c r="B295" s="68" t="str">
        <f>IF(Tilmeldingsoversigt!$C$8="x",hovedret," ")</f>
        <v>Hovedret</v>
      </c>
      <c r="C295" s="69">
        <f ca="1">IF(B295=hovedret,Tilmeldingsoversigt!$C$16," ")</f>
        <v>55.016393442622949</v>
      </c>
      <c r="D295" s="68" t="str">
        <f>IF(Tilmeldingsoversigt!$D$8="x",hovedret," ")</f>
        <v>Hovedret</v>
      </c>
      <c r="E295" s="69">
        <f ca="1">IF(D295=hovedret,Tilmeldingsoversigt!$C$16," ")</f>
        <v>55.016393442622949</v>
      </c>
      <c r="F295" s="68"/>
      <c r="G295" s="69"/>
      <c r="H295" s="68"/>
      <c r="I295" s="69"/>
      <c r="J295" s="68"/>
      <c r="K295" s="69"/>
      <c r="L295" s="68"/>
      <c r="M295" s="69"/>
      <c r="N295" s="68"/>
      <c r="O295" s="70"/>
      <c r="P295" s="66"/>
    </row>
    <row r="296" spans="2:16" x14ac:dyDescent="0.25">
      <c r="B296" s="68" t="str">
        <f>IF(Tilmeldingsoversigt!$C$9="x",Aftensmad," ")</f>
        <v>Aftensmad</v>
      </c>
      <c r="C296" s="69">
        <f ca="1">IF(B296=Aftensmad,Tilmeldingsoversigt!$C$17," ")</f>
        <v>27.540983606557376</v>
      </c>
      <c r="D296" s="68" t="str">
        <f>IF(Tilmeldingsoversigt!$D$9="x",Aftensmad," ")</f>
        <v>Aftensmad</v>
      </c>
      <c r="E296" s="69">
        <f ca="1">IF(D296=Aftensmad,Tilmeldingsoversigt!$C$17," ")</f>
        <v>27.540983606557376</v>
      </c>
      <c r="F296" s="68"/>
      <c r="G296" s="69"/>
      <c r="H296" s="68"/>
      <c r="I296" s="69"/>
      <c r="J296" s="68"/>
      <c r="K296" s="69"/>
      <c r="L296" s="68"/>
      <c r="M296" s="69"/>
      <c r="N296" s="68"/>
      <c r="O296" s="70"/>
      <c r="P296" s="66"/>
    </row>
    <row r="297" spans="2:16" x14ac:dyDescent="0.25">
      <c r="B297" s="68" t="str">
        <f>IF(Tilmeldingsoversigt!$C$10="x",biret," ")</f>
        <v>Biret</v>
      </c>
      <c r="C297" s="69">
        <f>IF(B297=biret,biretpris," ")</f>
        <v>0</v>
      </c>
      <c r="D297" s="68" t="str">
        <f>IF(Tilmeldingsoversigt!$D$10="x",biret," ")</f>
        <v>Biret</v>
      </c>
      <c r="E297" s="69">
        <f>IF(D297=biret,biretpris," ")</f>
        <v>0</v>
      </c>
      <c r="F297" s="68"/>
      <c r="G297" s="69"/>
      <c r="H297" s="68"/>
      <c r="I297" s="69"/>
      <c r="J297" s="68"/>
      <c r="K297" s="69"/>
      <c r="L297" s="68"/>
      <c r="M297" s="69"/>
      <c r="N297" s="68"/>
      <c r="O297" s="70"/>
      <c r="P297" s="66"/>
    </row>
    <row r="298" spans="2:16" x14ac:dyDescent="0.25">
      <c r="B298" s="71" t="str">
        <f>IF(Tilmeldingsoversigt!$C$11="x",mellemmåltid," ")</f>
        <v xml:space="preserve"> </v>
      </c>
      <c r="C298" s="69" t="str">
        <f>IF(B298=mellemmåltid,mellemmåltidspris," ")</f>
        <v xml:space="preserve"> </v>
      </c>
      <c r="D298" s="71" t="str">
        <f>IF(Tilmeldingsoversigt!$C$11="x",mellemmåltid," ")</f>
        <v xml:space="preserve"> </v>
      </c>
      <c r="E298" s="72" t="str">
        <f>IF(D298=mellemmåltid,mellemmåltidspris," ")</f>
        <v xml:space="preserve"> </v>
      </c>
      <c r="F298" s="71"/>
      <c r="G298" s="72"/>
      <c r="H298" s="71"/>
      <c r="I298" s="72"/>
      <c r="J298" s="71"/>
      <c r="K298" s="72"/>
      <c r="L298" s="71"/>
      <c r="M298" s="72"/>
      <c r="N298" s="71"/>
      <c r="O298" s="73"/>
      <c r="P298" s="66"/>
    </row>
    <row r="299" spans="2:16" x14ac:dyDescent="0.25">
      <c r="B299" s="74" t="s">
        <v>44</v>
      </c>
      <c r="C299" s="11">
        <f ca="1">SUM(C294:C298)</f>
        <v>99.311475409836063</v>
      </c>
      <c r="D299" s="74"/>
      <c r="E299" s="11">
        <f ca="1">SUM(E294:E298)</f>
        <v>99.311475409836063</v>
      </c>
      <c r="F299" s="74"/>
      <c r="G299" s="11">
        <f>SUM(G294:G298)</f>
        <v>0</v>
      </c>
      <c r="H299" s="74"/>
      <c r="I299" s="11">
        <f>SUM(I294:I298)</f>
        <v>0</v>
      </c>
      <c r="J299" s="74"/>
      <c r="K299" s="11">
        <f>SUM(K294:K298)</f>
        <v>0</v>
      </c>
      <c r="L299" s="74"/>
      <c r="M299" s="11">
        <f>SUM(M294:M298)</f>
        <v>0</v>
      </c>
      <c r="N299" s="74"/>
      <c r="O299" s="12">
        <f>SUM(O294:O298)</f>
        <v>0</v>
      </c>
      <c r="P299" s="75">
        <f>SUMIF(B292:N292,"&gt;="&amp;15,C299:O299)</f>
        <v>0</v>
      </c>
    </row>
    <row r="300" spans="2:16" ht="17.25" customHeight="1" x14ac:dyDescent="0.2"/>
    <row r="301" spans="2:16" ht="12" x14ac:dyDescent="0.2">
      <c r="B301" s="246" t="s">
        <v>49</v>
      </c>
      <c r="C301" s="246"/>
      <c r="D301" s="246"/>
      <c r="E301" s="246"/>
      <c r="F301" s="49"/>
      <c r="G301" s="132">
        <f ca="1">Tilmeldingsoversigt!$E$15-(30-'Tilmeldte måltider'!G302)*Morgenpris</f>
        <v>511</v>
      </c>
      <c r="H301" s="49"/>
      <c r="I301" s="132">
        <f ca="1">Tilmeldingsoversigt!$E$16-(30-'Tilmeldte måltider'!I302)*Frokostpris</f>
        <v>1678</v>
      </c>
      <c r="J301" s="49"/>
      <c r="K301" s="132">
        <f ca="1">Tilmeldingsoversigt!$E$17-(30-'Tilmeldte måltider'!K302)*Aftenpris</f>
        <v>840</v>
      </c>
      <c r="L301" s="247" t="s">
        <v>32</v>
      </c>
      <c r="M301" s="247"/>
      <c r="N301" s="247" t="s">
        <v>33</v>
      </c>
      <c r="O301" s="247"/>
      <c r="P301" s="49"/>
    </row>
    <row r="302" spans="2:16" ht="25.5" customHeight="1" x14ac:dyDescent="0.25">
      <c r="B302" s="246"/>
      <c r="C302" s="246"/>
      <c r="D302" s="246"/>
      <c r="E302" s="246"/>
      <c r="F302" s="97" t="str">
        <f>Morgenmad</f>
        <v>Morgenmad</v>
      </c>
      <c r="G302" s="97">
        <f ca="1">IF(L303=FALSE,0,(COUNTIF(B308:O349,Morgenmad)))</f>
        <v>30</v>
      </c>
      <c r="H302" s="97" t="str">
        <f>hovedret</f>
        <v>Hovedret</v>
      </c>
      <c r="I302" s="97">
        <f ca="1">IF(L303=FALSE,0,(COUNTIF(B308:O349,hovedret)))</f>
        <v>30</v>
      </c>
      <c r="J302" s="97" t="str">
        <f>Aftensmad</f>
        <v>Aftensmad</v>
      </c>
      <c r="K302" s="97">
        <f ca="1">IF(L303=FALSE,0,(COUNTIF(B309:O350,Aftensmad)))</f>
        <v>30</v>
      </c>
      <c r="L302" s="248">
        <f ca="1">IF(juni_sum=0,0,månedligtotal)</f>
        <v>3000</v>
      </c>
      <c r="M302" s="249"/>
      <c r="N302" s="248">
        <f ca="1">hovedtotal</f>
        <v>36000.409836065577</v>
      </c>
      <c r="O302" s="250"/>
      <c r="P302" s="49"/>
    </row>
    <row r="303" spans="2:16" ht="25.5" customHeight="1" x14ac:dyDescent="0.45">
      <c r="B303" s="121"/>
      <c r="C303" s="121"/>
      <c r="D303" s="121"/>
      <c r="E303" s="121"/>
      <c r="F303" s="98" t="str">
        <f>biret</f>
        <v>Biret</v>
      </c>
      <c r="G303" s="97">
        <f ca="1">IF(juni_sum=0,0,(COUNTIF($B$309:$N$357,biret)))</f>
        <v>30</v>
      </c>
      <c r="H303" s="98" t="str">
        <f>mellemmåltid</f>
        <v>Mellemmåltid</v>
      </c>
      <c r="I303" s="97">
        <f ca="1">IF(juni_sum=0,0,(COUNTIF($B$309:$N$357,mellemmåltid)))</f>
        <v>0</v>
      </c>
      <c r="J303" s="98"/>
      <c r="K303" s="98"/>
      <c r="L303" s="243" t="b">
        <f>IF(AND(L304,N304)=TRUE,TRUE,FALSE)</f>
        <v>1</v>
      </c>
      <c r="M303" s="244"/>
      <c r="N303" s="137">
        <f ca="1">G301+I301+K301</f>
        <v>3029</v>
      </c>
      <c r="O303" s="137"/>
      <c r="P303" s="49"/>
    </row>
    <row r="304" spans="2:16" ht="25.5" hidden="1" customHeight="1" x14ac:dyDescent="0.45">
      <c r="B304" s="121"/>
      <c r="C304" s="121"/>
      <c r="D304" s="121"/>
      <c r="E304" s="121"/>
      <c r="F304" s="138"/>
      <c r="G304" s="138"/>
      <c r="H304" s="138"/>
      <c r="I304" s="138"/>
      <c r="J304" s="138"/>
      <c r="K304" s="138"/>
      <c r="L304" s="242" t="b">
        <f>IF(OR(VLOOKUP(start_måned,Dataark!$C$5:$D$16,2,FALSE)&lt;=6,$L$244=TRUE),TRUE,FALSE)</f>
        <v>1</v>
      </c>
      <c r="M304" s="242"/>
      <c r="N304" s="242" t="b">
        <f>IF(AND(VLOOKUP(slut_måned,Dataark!$C$5:$D$16,2,FALSE)&gt;=6,L304=TRUE),TRUE,FALSE)</f>
        <v>1</v>
      </c>
      <c r="O304" s="242"/>
      <c r="P304" s="49"/>
    </row>
    <row r="305" spans="2:16" ht="9" customHeight="1" x14ac:dyDescent="0.2">
      <c r="B305" s="251">
        <v>1</v>
      </c>
      <c r="C305" s="251"/>
      <c r="D305" s="251">
        <v>2</v>
      </c>
      <c r="E305" s="251"/>
      <c r="F305" s="251">
        <v>3</v>
      </c>
      <c r="G305" s="251"/>
      <c r="H305" s="251">
        <v>4</v>
      </c>
      <c r="I305" s="251"/>
      <c r="J305" s="251">
        <v>5</v>
      </c>
      <c r="K305" s="251"/>
      <c r="L305" s="251">
        <v>6</v>
      </c>
      <c r="M305" s="251"/>
      <c r="N305" s="251">
        <v>7</v>
      </c>
      <c r="O305" s="251"/>
      <c r="P305" s="135">
        <f ca="1">IF(L303=TRUE,(N303),0)</f>
        <v>3029</v>
      </c>
    </row>
    <row r="306" spans="2:16" ht="15" customHeight="1" x14ac:dyDescent="0.25">
      <c r="B306" s="252" t="s">
        <v>34</v>
      </c>
      <c r="C306" s="253"/>
      <c r="D306" s="254" t="s">
        <v>35</v>
      </c>
      <c r="E306" s="255" t="e">
        <f>IF(WEEKDAY(DATEVALUE(Month1&amp;" 1, "&amp;Year1))=COLUMN(#REF!),1,IF(LEN(C306)&gt;0,C306+1,""))</f>
        <v>#NAME?</v>
      </c>
      <c r="F306" s="253" t="s">
        <v>36</v>
      </c>
      <c r="G306" s="253" t="e">
        <f>IF(WEEKDAY(DATEVALUE(Month1&amp;" 1, "&amp;Year1))=COLUMN(#REF!),1,IF(LEN(E306)&gt;0,E306+1,""))</f>
        <v>#NAME?</v>
      </c>
      <c r="H306" s="254" t="s">
        <v>37</v>
      </c>
      <c r="I306" s="255" t="e">
        <f>IF(WEEKDAY(DATEVALUE(Month1&amp;" 1, "&amp;Year1))=COLUMN(#REF!),1,IF(LEN(G306)&gt;0,G306+1,""))</f>
        <v>#NAME?</v>
      </c>
      <c r="J306" s="256" t="s">
        <v>38</v>
      </c>
      <c r="K306" s="257" t="e">
        <f>IF(WEEKDAY(DATEVALUE(Month1&amp;" 1, "&amp;Year1))=COLUMN(#REF!),1,IF(LEN(I306)&gt;0,I306+1,""))</f>
        <v>#NAME?</v>
      </c>
      <c r="L306" s="258" t="s">
        <v>39</v>
      </c>
      <c r="M306" s="259" t="e">
        <f>IF(WEEKDAY(DATEVALUE(Month1&amp;" 1, "&amp;Year1))=COLUMN(#REF!),1,IF(LEN(K306)&gt;0,K306+1,""))</f>
        <v>#NAME?</v>
      </c>
      <c r="N306" s="258" t="s">
        <v>40</v>
      </c>
      <c r="O306" s="259" t="e">
        <f>IF(WEEKDAY(DATEVALUE(Month1&amp;" 1, "&amp;Year1))=COLUMN(#REF!),1,IF(LEN(M306)&gt;0,M306+1,""))</f>
        <v>#NAME?</v>
      </c>
      <c r="P306" s="53" t="s">
        <v>41</v>
      </c>
    </row>
    <row r="307" spans="2:16" ht="12.75" x14ac:dyDescent="0.25">
      <c r="B307" s="55">
        <f>DAY(IF(DAY(JunSøn1)=1,JunSøn1-6,JunSøn1+1))</f>
        <v>27</v>
      </c>
      <c r="C307" s="56"/>
      <c r="D307" s="57">
        <f>DAY(IF(DAY(JunSøn1)=1,JunSøn1-5,JunSøn1+2))</f>
        <v>28</v>
      </c>
      <c r="E307" s="56"/>
      <c r="F307" s="57">
        <f>DAY(IF(DAY(JunSøn1)=1,JunSøn1-4,JunSøn1+3))</f>
        <v>29</v>
      </c>
      <c r="G307" s="56"/>
      <c r="H307" s="57">
        <f>DAY(IF(DAY(JunSøn1)=1,JunSøn1-3,JunSøn1+4))</f>
        <v>30</v>
      </c>
      <c r="I307" s="56"/>
      <c r="J307" s="57">
        <f>DAY(IF(DAY(JunSøn1)=1,JunSøn1-2,JunSøn1+5))</f>
        <v>31</v>
      </c>
      <c r="K307" s="56"/>
      <c r="L307" s="57">
        <f>DAY(IF(DAY(JunSøn1)=1,JunSøn1-1,JunSøn1+6))</f>
        <v>1</v>
      </c>
      <c r="M307" s="56"/>
      <c r="N307" s="58">
        <f>DAY(IF(DAY(JunSøn1)=1,JunSøn1,JunSøn1+7))</f>
        <v>2</v>
      </c>
      <c r="O307" s="59"/>
      <c r="P307" s="60"/>
    </row>
    <row r="308" spans="2:16" x14ac:dyDescent="0.25">
      <c r="B308" s="61" t="s">
        <v>42</v>
      </c>
      <c r="C308" s="62" t="s">
        <v>43</v>
      </c>
      <c r="D308" s="63" t="s">
        <v>42</v>
      </c>
      <c r="E308" s="62" t="s">
        <v>43</v>
      </c>
      <c r="F308" s="63" t="s">
        <v>42</v>
      </c>
      <c r="G308" s="62" t="s">
        <v>43</v>
      </c>
      <c r="H308" s="63" t="s">
        <v>42</v>
      </c>
      <c r="I308" s="62" t="s">
        <v>43</v>
      </c>
      <c r="J308" s="63" t="s">
        <v>42</v>
      </c>
      <c r="K308" s="62" t="s">
        <v>43</v>
      </c>
      <c r="L308" s="63" t="s">
        <v>42</v>
      </c>
      <c r="M308" s="62" t="s">
        <v>43</v>
      </c>
      <c r="N308" s="64" t="s">
        <v>42</v>
      </c>
      <c r="O308" s="65" t="s">
        <v>43</v>
      </c>
      <c r="P308" s="66"/>
    </row>
    <row r="309" spans="2:16" x14ac:dyDescent="0.25">
      <c r="B309" s="136"/>
      <c r="C309" s="67"/>
      <c r="D309" s="136"/>
      <c r="E309" s="67"/>
      <c r="F309" s="136" t="str">
        <f>IF(Tilmeldingsoversigt!$E$7="x",Morgenmad," ")</f>
        <v>Morgenmad</v>
      </c>
      <c r="G309" s="67">
        <f ca="1">IF(F309=Morgenmad,Tilmeldingsoversigt!$C$15," ")</f>
        <v>16.754098360655739</v>
      </c>
      <c r="H309" s="136" t="str">
        <f>IF(Tilmeldingsoversigt!$F$7="x",Morgenmad," ")</f>
        <v>Morgenmad</v>
      </c>
      <c r="I309" s="67">
        <f ca="1">IF(H309=Morgenmad,Tilmeldingsoversigt!$C$15," ")</f>
        <v>16.754098360655739</v>
      </c>
      <c r="J309" s="136" t="str">
        <f>IF(Tilmeldingsoversigt!$G$7="x",Morgenmad," ")</f>
        <v>Morgenmad</v>
      </c>
      <c r="K309" s="67">
        <f ca="1">IF(J309=Morgenmad,Tilmeldingsoversigt!$C$15," ")</f>
        <v>16.754098360655739</v>
      </c>
      <c r="L309" s="136" t="str">
        <f>IF(Tilmeldingsoversigt!$H$7="x",Morgenmad," ")</f>
        <v>Morgenmad</v>
      </c>
      <c r="M309" s="67">
        <f ca="1">IF(L309=Morgenmad,Tilmeldingsoversigt!$C$15," ")</f>
        <v>16.754098360655739</v>
      </c>
      <c r="N309" s="136" t="str">
        <f>IF(Tilmeldingsoversigt!$I$7="x",Morgenmad," ")</f>
        <v>Morgenmad</v>
      </c>
      <c r="O309" s="83">
        <f ca="1">IF(N309=Morgenmad,Tilmeldingsoversigt!$C$15," ")</f>
        <v>16.754098360655739</v>
      </c>
      <c r="P309" s="66"/>
    </row>
    <row r="310" spans="2:16" x14ac:dyDescent="0.25">
      <c r="B310" s="68"/>
      <c r="C310" s="69"/>
      <c r="D310" s="68"/>
      <c r="E310" s="69"/>
      <c r="F310" s="68" t="str">
        <f>IF(Tilmeldingsoversigt!$E$8="x",hovedret," ")</f>
        <v>Hovedret</v>
      </c>
      <c r="G310" s="69">
        <f ca="1">IF(F310=hovedret,Tilmeldingsoversigt!$C$16," ")</f>
        <v>55.016393442622949</v>
      </c>
      <c r="H310" s="68" t="str">
        <f>IF(Tilmeldingsoversigt!$F$8="x",hovedret," ")</f>
        <v>Hovedret</v>
      </c>
      <c r="I310" s="69">
        <f ca="1">IF(H310=hovedret,Tilmeldingsoversigt!$C$16," ")</f>
        <v>55.016393442622949</v>
      </c>
      <c r="J310" s="68" t="str">
        <f>IF(Tilmeldingsoversigt!$G$8="x",hovedret," ")</f>
        <v>Hovedret</v>
      </c>
      <c r="K310" s="69">
        <f ca="1">IF(J310=hovedret,Tilmeldingsoversigt!$C$16," ")</f>
        <v>55.016393442622949</v>
      </c>
      <c r="L310" s="68" t="str">
        <f>IF(Tilmeldingsoversigt!$H$8="x",hovedret," ")</f>
        <v>Hovedret</v>
      </c>
      <c r="M310" s="69">
        <f ca="1">IF(L310=hovedret,Tilmeldingsoversigt!$C$16," ")</f>
        <v>55.016393442622949</v>
      </c>
      <c r="N310" s="68" t="str">
        <f>IF(Tilmeldingsoversigt!$I$8="x",hovedret," ")</f>
        <v>Hovedret</v>
      </c>
      <c r="O310" s="70">
        <f ca="1">IF(N310=hovedret,Tilmeldingsoversigt!$C$16," ")</f>
        <v>55.016393442622949</v>
      </c>
      <c r="P310" s="66"/>
    </row>
    <row r="311" spans="2:16" x14ac:dyDescent="0.25">
      <c r="B311" s="68"/>
      <c r="C311" s="69"/>
      <c r="D311" s="68"/>
      <c r="E311" s="69"/>
      <c r="F311" s="68" t="str">
        <f>IF(Tilmeldingsoversigt!$E$9="x",Aftensmad," ")</f>
        <v>Aftensmad</v>
      </c>
      <c r="G311" s="69">
        <f ca="1">IF(F311=Aftensmad,Tilmeldingsoversigt!$C$17," ")</f>
        <v>27.540983606557376</v>
      </c>
      <c r="H311" s="68" t="str">
        <f>IF(Tilmeldingsoversigt!$F$9="x",Aftensmad," ")</f>
        <v>Aftensmad</v>
      </c>
      <c r="I311" s="69">
        <f ca="1">IF(H311=Aftensmad,Tilmeldingsoversigt!$C$17," ")</f>
        <v>27.540983606557376</v>
      </c>
      <c r="J311" s="68" t="str">
        <f>IF(Tilmeldingsoversigt!$G$9="x",Aftensmad," ")</f>
        <v>Aftensmad</v>
      </c>
      <c r="K311" s="69">
        <f ca="1">IF(J311=Aftensmad,Tilmeldingsoversigt!$C$17," ")</f>
        <v>27.540983606557376</v>
      </c>
      <c r="L311" s="68" t="str">
        <f>IF(Tilmeldingsoversigt!$H$9="x",Aftensmad," ")</f>
        <v>Aftensmad</v>
      </c>
      <c r="M311" s="69">
        <f ca="1">IF(L311=Aftensmad,Tilmeldingsoversigt!$C$17," ")</f>
        <v>27.540983606557376</v>
      </c>
      <c r="N311" s="68" t="str">
        <f>IF(Tilmeldingsoversigt!$I$9="x",Aftensmad," ")</f>
        <v>Aftensmad</v>
      </c>
      <c r="O311" s="70">
        <f ca="1">IF(N311=Aftensmad,Tilmeldingsoversigt!$C$17," ")</f>
        <v>27.540983606557376</v>
      </c>
      <c r="P311" s="66"/>
    </row>
    <row r="312" spans="2:16" x14ac:dyDescent="0.25">
      <c r="B312" s="68"/>
      <c r="C312" s="69"/>
      <c r="D312" s="68"/>
      <c r="E312" s="69"/>
      <c r="F312" s="68" t="str">
        <f>IF(Tilmeldingsoversigt!$E$10="x",biret," ")</f>
        <v>Biret</v>
      </c>
      <c r="G312" s="69">
        <f>IF(F312=biret,biretpris," ")</f>
        <v>0</v>
      </c>
      <c r="H312" s="68" t="str">
        <f>IF(Tilmeldingsoversigt!$F$10="x",biret," ")</f>
        <v>Biret</v>
      </c>
      <c r="I312" s="69">
        <f>IF(H312=biret,biretpris," ")</f>
        <v>0</v>
      </c>
      <c r="J312" s="68" t="str">
        <f>IF(Tilmeldingsoversigt!$G$10="x",biret," ")</f>
        <v>Biret</v>
      </c>
      <c r="K312" s="70">
        <f>IF(J312=biret,biretpris," ")</f>
        <v>0</v>
      </c>
      <c r="L312" s="68" t="str">
        <f>IF(Tilmeldingsoversigt!$H$10="x",biret," ")</f>
        <v>Biret</v>
      </c>
      <c r="M312" s="69">
        <f>IF(L312=biret,biretpris," ")</f>
        <v>0</v>
      </c>
      <c r="N312" s="68" t="str">
        <f>IF(Tilmeldingsoversigt!$I$10="x",biret," ")</f>
        <v>Biret</v>
      </c>
      <c r="O312" s="70">
        <f>IF(N312=biret,biretpris," ")</f>
        <v>0</v>
      </c>
      <c r="P312" s="66"/>
    </row>
    <row r="313" spans="2:16" x14ac:dyDescent="0.25">
      <c r="B313" s="71"/>
      <c r="C313" s="69"/>
      <c r="D313" s="71"/>
      <c r="E313" s="72"/>
      <c r="F313" s="71" t="str">
        <f>IF(Tilmeldingsoversigt!$C$11="x",mellemmåltid," ")</f>
        <v xml:space="preserve"> </v>
      </c>
      <c r="G313" s="72" t="str">
        <f>IF(F313=mellemmåltid,mellemmåltidspris," ")</f>
        <v xml:space="preserve"> </v>
      </c>
      <c r="H313" s="71" t="str">
        <f>IF(Tilmeldingsoversigt!$C$11="x",mellemmåltid," ")</f>
        <v xml:space="preserve"> </v>
      </c>
      <c r="I313" s="72" t="str">
        <f>IF(H313=mellemmåltid,mellemmåltidspris," ")</f>
        <v xml:space="preserve"> </v>
      </c>
      <c r="J313" s="71" t="str">
        <f>IF(Tilmeldingsoversigt!$C$11="x",mellemmåltid," ")</f>
        <v xml:space="preserve"> </v>
      </c>
      <c r="K313" s="73" t="str">
        <f>IF(J313=mellemmåltid,mellemmåltidspris," ")</f>
        <v xml:space="preserve"> </v>
      </c>
      <c r="L313" s="71" t="str">
        <f>IF(Tilmeldingsoversigt!$C$11="x",mellemmåltid," ")</f>
        <v xml:space="preserve"> </v>
      </c>
      <c r="M313" s="72" t="str">
        <f>IF(L313=mellemmåltid,mellemmåltidspris," ")</f>
        <v xml:space="preserve"> </v>
      </c>
      <c r="N313" s="71" t="str">
        <f>IF(Tilmeldingsoversigt!$C$11="x",mellemmåltid," ")</f>
        <v xml:space="preserve"> </v>
      </c>
      <c r="O313" s="73" t="str">
        <f>IF(N313=mellemmåltid,mellemmåltidspris," ")</f>
        <v xml:space="preserve"> </v>
      </c>
      <c r="P313" s="66"/>
    </row>
    <row r="314" spans="2:16" x14ac:dyDescent="0.25">
      <c r="B314" s="74" t="s">
        <v>44</v>
      </c>
      <c r="C314" s="11">
        <f>SUM(C309:C313)</f>
        <v>0</v>
      </c>
      <c r="D314" s="74"/>
      <c r="E314" s="11">
        <f>SUM(E309:E313)</f>
        <v>0</v>
      </c>
      <c r="F314" s="74"/>
      <c r="G314" s="11">
        <f ca="1">SUM(G309:G313)</f>
        <v>99.311475409836063</v>
      </c>
      <c r="H314" s="74"/>
      <c r="I314" s="11">
        <f ca="1">SUM(I309:I313)</f>
        <v>99.311475409836063</v>
      </c>
      <c r="J314" s="74"/>
      <c r="K314" s="11">
        <f ca="1">SUM(K309:K313)</f>
        <v>99.311475409836063</v>
      </c>
      <c r="L314" s="74"/>
      <c r="M314" s="11">
        <f ca="1">SUM(M309:M313)</f>
        <v>99.311475409836063</v>
      </c>
      <c r="N314" s="74"/>
      <c r="O314" s="12">
        <f ca="1">SUM(O309:O313)</f>
        <v>99.311475409836063</v>
      </c>
      <c r="P314" s="75">
        <f ca="1">SUMIF(B307:N307,"&lt;8",C314:O314)</f>
        <v>198.62295081967213</v>
      </c>
    </row>
    <row r="315" spans="2:16" x14ac:dyDescent="0.2">
      <c r="B315" s="76"/>
      <c r="C315" s="77"/>
      <c r="D315" s="77"/>
      <c r="E315" s="77"/>
      <c r="F315" s="77"/>
      <c r="G315" s="77"/>
      <c r="H315" s="77"/>
      <c r="I315" s="77"/>
      <c r="J315" s="77"/>
      <c r="K315" s="77"/>
      <c r="L315" s="77"/>
      <c r="M315" s="77"/>
      <c r="N315" s="77"/>
      <c r="O315" s="77"/>
      <c r="P315" s="76"/>
    </row>
    <row r="316" spans="2:16" ht="12.75" x14ac:dyDescent="0.25">
      <c r="B316" s="78">
        <f>N307+1</f>
        <v>3</v>
      </c>
      <c r="C316" s="79"/>
      <c r="D316" s="78">
        <f>B316+1</f>
        <v>4</v>
      </c>
      <c r="E316" s="79"/>
      <c r="F316" s="78">
        <f>D316+1</f>
        <v>5</v>
      </c>
      <c r="G316" s="79"/>
      <c r="H316" s="78">
        <f>F316+1</f>
        <v>6</v>
      </c>
      <c r="I316" s="79"/>
      <c r="J316" s="78">
        <f>H316+1</f>
        <v>7</v>
      </c>
      <c r="K316" s="79"/>
      <c r="L316" s="78">
        <f>J316+1</f>
        <v>8</v>
      </c>
      <c r="M316" s="79"/>
      <c r="N316" s="78">
        <f>L316+1</f>
        <v>9</v>
      </c>
      <c r="O316" s="79"/>
      <c r="P316" s="80"/>
    </row>
    <row r="317" spans="2:16" x14ac:dyDescent="0.25">
      <c r="B317" s="64" t="s">
        <v>42</v>
      </c>
      <c r="C317" s="81" t="s">
        <v>43</v>
      </c>
      <c r="D317" s="64" t="s">
        <v>42</v>
      </c>
      <c r="E317" s="81" t="s">
        <v>43</v>
      </c>
      <c r="F317" s="64" t="s">
        <v>42</v>
      </c>
      <c r="G317" s="81" t="s">
        <v>43</v>
      </c>
      <c r="H317" s="64" t="s">
        <v>42</v>
      </c>
      <c r="I317" s="81" t="s">
        <v>43</v>
      </c>
      <c r="J317" s="64" t="s">
        <v>42</v>
      </c>
      <c r="K317" s="81" t="s">
        <v>43</v>
      </c>
      <c r="L317" s="64" t="s">
        <v>42</v>
      </c>
      <c r="M317" s="81" t="s">
        <v>43</v>
      </c>
      <c r="N317" s="64" t="s">
        <v>42</v>
      </c>
      <c r="O317" s="82" t="s">
        <v>43</v>
      </c>
      <c r="P317" s="66"/>
    </row>
    <row r="318" spans="2:16" x14ac:dyDescent="0.25">
      <c r="B318" s="136" t="str">
        <f>IF(Tilmeldingsoversigt!$C$7="x",Morgenmad," ")</f>
        <v>Morgenmad</v>
      </c>
      <c r="C318" s="67">
        <f ca="1">IF(B318=Morgenmad,Tilmeldingsoversigt!$C$15," ")</f>
        <v>16.754098360655739</v>
      </c>
      <c r="D318" s="136" t="str">
        <f>IF(Tilmeldingsoversigt!$D$7="x",Morgenmad," ")</f>
        <v>Morgenmad</v>
      </c>
      <c r="E318" s="67">
        <f ca="1">IF(D318=Morgenmad,Tilmeldingsoversigt!$C$15," ")</f>
        <v>16.754098360655739</v>
      </c>
      <c r="F318" s="136" t="str">
        <f>IF(Tilmeldingsoversigt!$E$7="x",Morgenmad," ")</f>
        <v>Morgenmad</v>
      </c>
      <c r="G318" s="67">
        <f ca="1">IF(F318=Morgenmad,Tilmeldingsoversigt!$C$15," ")</f>
        <v>16.754098360655739</v>
      </c>
      <c r="H318" s="136" t="str">
        <f>IF(Tilmeldingsoversigt!$F$7="x",Morgenmad," ")</f>
        <v>Morgenmad</v>
      </c>
      <c r="I318" s="67">
        <f ca="1">IF(H318=Morgenmad,Tilmeldingsoversigt!$C$15," ")</f>
        <v>16.754098360655739</v>
      </c>
      <c r="J318" s="136" t="str">
        <f>IF(Tilmeldingsoversigt!$G$7="x",Morgenmad," ")</f>
        <v>Morgenmad</v>
      </c>
      <c r="K318" s="67">
        <f ca="1">IF(J318=Morgenmad,Tilmeldingsoversigt!$C$15," ")</f>
        <v>16.754098360655739</v>
      </c>
      <c r="L318" s="136" t="str">
        <f>IF(Tilmeldingsoversigt!$H$7="x",Morgenmad," ")</f>
        <v>Morgenmad</v>
      </c>
      <c r="M318" s="67">
        <f ca="1">IF(L318=Morgenmad,Tilmeldingsoversigt!$C$15," ")</f>
        <v>16.754098360655739</v>
      </c>
      <c r="N318" s="136" t="str">
        <f>IF(Tilmeldingsoversigt!$I$7="x",Morgenmad," ")</f>
        <v>Morgenmad</v>
      </c>
      <c r="O318" s="83">
        <f ca="1">IF(N318=Morgenmad,Tilmeldingsoversigt!$C$15," ")</f>
        <v>16.754098360655739</v>
      </c>
      <c r="P318" s="66"/>
    </row>
    <row r="319" spans="2:16" x14ac:dyDescent="0.25">
      <c r="B319" s="68" t="str">
        <f>IF(Tilmeldingsoversigt!$C$8="x",hovedret," ")</f>
        <v>Hovedret</v>
      </c>
      <c r="C319" s="69">
        <f ca="1">IF(B319=hovedret,Tilmeldingsoversigt!$C$16," ")</f>
        <v>55.016393442622949</v>
      </c>
      <c r="D319" s="68" t="str">
        <f>IF(Tilmeldingsoversigt!$D$8="x",hovedret," ")</f>
        <v>Hovedret</v>
      </c>
      <c r="E319" s="69">
        <f ca="1">IF(D319=hovedret,Tilmeldingsoversigt!$C$16," ")</f>
        <v>55.016393442622949</v>
      </c>
      <c r="F319" s="68" t="str">
        <f>IF(Tilmeldingsoversigt!$E$8="x",hovedret," ")</f>
        <v>Hovedret</v>
      </c>
      <c r="G319" s="69">
        <f ca="1">IF(F319=hovedret,Tilmeldingsoversigt!$C$16," ")</f>
        <v>55.016393442622949</v>
      </c>
      <c r="H319" s="68" t="str">
        <f>IF(Tilmeldingsoversigt!$F$8="x",hovedret," ")</f>
        <v>Hovedret</v>
      </c>
      <c r="I319" s="69">
        <f ca="1">IF(H319=hovedret,Tilmeldingsoversigt!$C$16," ")</f>
        <v>55.016393442622949</v>
      </c>
      <c r="J319" s="68" t="str">
        <f>IF(Tilmeldingsoversigt!$G$8="x",hovedret," ")</f>
        <v>Hovedret</v>
      </c>
      <c r="K319" s="69">
        <f ca="1">IF(J319=hovedret,Tilmeldingsoversigt!$C$16," ")</f>
        <v>55.016393442622949</v>
      </c>
      <c r="L319" s="68" t="str">
        <f>IF(Tilmeldingsoversigt!$H$8="x",hovedret," ")</f>
        <v>Hovedret</v>
      </c>
      <c r="M319" s="69">
        <f ca="1">IF(L319=hovedret,Tilmeldingsoversigt!$C$16," ")</f>
        <v>55.016393442622949</v>
      </c>
      <c r="N319" s="68" t="str">
        <f>IF(Tilmeldingsoversigt!$I$8="x",hovedret," ")</f>
        <v>Hovedret</v>
      </c>
      <c r="O319" s="70">
        <f ca="1">IF(N319=hovedret,Tilmeldingsoversigt!$C$16," ")</f>
        <v>55.016393442622949</v>
      </c>
      <c r="P319" s="66"/>
    </row>
    <row r="320" spans="2:16" x14ac:dyDescent="0.25">
      <c r="B320" s="68" t="str">
        <f>IF(Tilmeldingsoversigt!$C$9="x",Aftensmad," ")</f>
        <v>Aftensmad</v>
      </c>
      <c r="C320" s="69">
        <f ca="1">IF(B320=Aftensmad,Tilmeldingsoversigt!$C$17," ")</f>
        <v>27.540983606557376</v>
      </c>
      <c r="D320" s="68" t="str">
        <f>IF(Tilmeldingsoversigt!$D$9="x",Aftensmad," ")</f>
        <v>Aftensmad</v>
      </c>
      <c r="E320" s="69">
        <f ca="1">IF(D320=Aftensmad,Tilmeldingsoversigt!$C$17," ")</f>
        <v>27.540983606557376</v>
      </c>
      <c r="F320" s="68" t="str">
        <f>IF(Tilmeldingsoversigt!$E$9="x",Aftensmad," ")</f>
        <v>Aftensmad</v>
      </c>
      <c r="G320" s="69">
        <f ca="1">IF(F320=Aftensmad,Tilmeldingsoversigt!$C$17," ")</f>
        <v>27.540983606557376</v>
      </c>
      <c r="H320" s="68" t="str">
        <f>IF(Tilmeldingsoversigt!$F$9="x",Aftensmad," ")</f>
        <v>Aftensmad</v>
      </c>
      <c r="I320" s="69">
        <f ca="1">IF(H320=Aftensmad,Tilmeldingsoversigt!$C$17," ")</f>
        <v>27.540983606557376</v>
      </c>
      <c r="J320" s="68" t="str">
        <f>IF(Tilmeldingsoversigt!$G$9="x",Aftensmad," ")</f>
        <v>Aftensmad</v>
      </c>
      <c r="K320" s="69">
        <f ca="1">IF(J320=Aftensmad,Tilmeldingsoversigt!$C$17," ")</f>
        <v>27.540983606557376</v>
      </c>
      <c r="L320" s="68" t="str">
        <f>IF(Tilmeldingsoversigt!$H$9="x",Aftensmad," ")</f>
        <v>Aftensmad</v>
      </c>
      <c r="M320" s="69">
        <f ca="1">IF(L320=Aftensmad,Tilmeldingsoversigt!$C$17," ")</f>
        <v>27.540983606557376</v>
      </c>
      <c r="N320" s="68" t="str">
        <f>IF(Tilmeldingsoversigt!$I$9="x",Aftensmad," ")</f>
        <v>Aftensmad</v>
      </c>
      <c r="O320" s="70">
        <f ca="1">IF(N320=Aftensmad,Tilmeldingsoversigt!$C$17," ")</f>
        <v>27.540983606557376</v>
      </c>
      <c r="P320" s="66"/>
    </row>
    <row r="321" spans="2:16" x14ac:dyDescent="0.25">
      <c r="B321" s="68" t="str">
        <f>IF(Tilmeldingsoversigt!$C$10="x",biret," ")</f>
        <v>Biret</v>
      </c>
      <c r="C321" s="69">
        <f>IF(B321=biret,biretpris," ")</f>
        <v>0</v>
      </c>
      <c r="D321" s="68" t="str">
        <f>IF(Tilmeldingsoversigt!$D$10="x",biret," ")</f>
        <v>Biret</v>
      </c>
      <c r="E321" s="69">
        <f>IF(D321=biret,biretpris," ")</f>
        <v>0</v>
      </c>
      <c r="F321" s="68" t="str">
        <f>IF(Tilmeldingsoversigt!$E$10="x",biret," ")</f>
        <v>Biret</v>
      </c>
      <c r="G321" s="69">
        <f>IF(F321=biret,biretpris," ")</f>
        <v>0</v>
      </c>
      <c r="H321" s="68" t="str">
        <f>IF(Tilmeldingsoversigt!$F$10="x",biret," ")</f>
        <v>Biret</v>
      </c>
      <c r="I321" s="69">
        <f>IF(H321=biret,biretpris," ")</f>
        <v>0</v>
      </c>
      <c r="J321" s="68" t="str">
        <f>IF(Tilmeldingsoversigt!$G$10="x",biret," ")</f>
        <v>Biret</v>
      </c>
      <c r="K321" s="70">
        <f>IF(J321=biret,biretpris," ")</f>
        <v>0</v>
      </c>
      <c r="L321" s="68" t="str">
        <f>IF(Tilmeldingsoversigt!$H$10="x",biret," ")</f>
        <v>Biret</v>
      </c>
      <c r="M321" s="69">
        <f>IF(L321=biret,biretpris," ")</f>
        <v>0</v>
      </c>
      <c r="N321" s="68" t="str">
        <f>IF(Tilmeldingsoversigt!$I$10="x",biret," ")</f>
        <v>Biret</v>
      </c>
      <c r="O321" s="70">
        <f>IF(N321=biret,biretpris," ")</f>
        <v>0</v>
      </c>
      <c r="P321" s="66"/>
    </row>
    <row r="322" spans="2:16" x14ac:dyDescent="0.25">
      <c r="B322" s="71" t="str">
        <f>IF(Tilmeldingsoversigt!$C$11="x",mellemmåltid," ")</f>
        <v xml:space="preserve"> </v>
      </c>
      <c r="C322" s="69" t="str">
        <f>IF(B322=mellemmåltid,mellemmåltidspris," ")</f>
        <v xml:space="preserve"> </v>
      </c>
      <c r="D322" s="71" t="str">
        <f>IF(Tilmeldingsoversigt!$C$11="x",mellemmåltid," ")</f>
        <v xml:space="preserve"> </v>
      </c>
      <c r="E322" s="72" t="str">
        <f>IF(D322=mellemmåltid,mellemmåltidspris," ")</f>
        <v xml:space="preserve"> </v>
      </c>
      <c r="F322" s="71" t="str">
        <f>IF(Tilmeldingsoversigt!$C$11="x",mellemmåltid," ")</f>
        <v xml:space="preserve"> </v>
      </c>
      <c r="G322" s="72" t="str">
        <f>IF(F322=mellemmåltid,mellemmåltidspris," ")</f>
        <v xml:space="preserve"> </v>
      </c>
      <c r="H322" s="71" t="str">
        <f>IF(Tilmeldingsoversigt!$C$11="x",mellemmåltid," ")</f>
        <v xml:space="preserve"> </v>
      </c>
      <c r="I322" s="72" t="str">
        <f>IF(H322=mellemmåltid,mellemmåltidspris," ")</f>
        <v xml:space="preserve"> </v>
      </c>
      <c r="J322" s="71" t="str">
        <f>IF(Tilmeldingsoversigt!$C$11="x",mellemmåltid," ")</f>
        <v xml:space="preserve"> </v>
      </c>
      <c r="K322" s="73" t="str">
        <f>IF(J322=mellemmåltid,mellemmåltidspris," ")</f>
        <v xml:space="preserve"> </v>
      </c>
      <c r="L322" s="71" t="str">
        <f>IF(Tilmeldingsoversigt!$C$11="x",mellemmåltid," ")</f>
        <v xml:space="preserve"> </v>
      </c>
      <c r="M322" s="72" t="str">
        <f>IF(L322=mellemmåltid,mellemmåltidspris," ")</f>
        <v xml:space="preserve"> </v>
      </c>
      <c r="N322" s="71" t="str">
        <f>IF(Tilmeldingsoversigt!$C$11="x",mellemmåltid," ")</f>
        <v xml:space="preserve"> </v>
      </c>
      <c r="O322" s="73" t="str">
        <f>IF(N322=mellemmåltid,mellemmåltidspris," ")</f>
        <v xml:space="preserve"> </v>
      </c>
      <c r="P322" s="66"/>
    </row>
    <row r="323" spans="2:16" x14ac:dyDescent="0.25">
      <c r="B323" s="74" t="s">
        <v>44</v>
      </c>
      <c r="C323" s="11">
        <f ca="1">SUM(C318:C322)</f>
        <v>99.311475409836063</v>
      </c>
      <c r="D323" s="74"/>
      <c r="E323" s="11">
        <f ca="1">SUM(E318:E322)</f>
        <v>99.311475409836063</v>
      </c>
      <c r="F323" s="74"/>
      <c r="G323" s="11">
        <f ca="1">SUM(G318:G322)</f>
        <v>99.311475409836063</v>
      </c>
      <c r="H323" s="74"/>
      <c r="I323" s="11">
        <f ca="1">SUM(I318:I322)</f>
        <v>99.311475409836063</v>
      </c>
      <c r="J323" s="74"/>
      <c r="K323" s="11">
        <f ca="1">SUM(K318:K322)</f>
        <v>99.311475409836063</v>
      </c>
      <c r="L323" s="74"/>
      <c r="M323" s="11">
        <f ca="1">SUM(M318:M322)</f>
        <v>99.311475409836063</v>
      </c>
      <c r="N323" s="74"/>
      <c r="O323" s="12">
        <f ca="1">SUM(O318:O322)</f>
        <v>99.311475409836063</v>
      </c>
      <c r="P323" s="75">
        <f ca="1">SUM(C323,E323,G323,I323,K323,M323,O323)</f>
        <v>695.18032786885237</v>
      </c>
    </row>
    <row r="324" spans="2:16" x14ac:dyDescent="0.2">
      <c r="B324" s="76"/>
      <c r="C324" s="77"/>
      <c r="D324" s="77"/>
      <c r="E324" s="77"/>
      <c r="F324" s="77"/>
      <c r="G324" s="77"/>
      <c r="H324" s="77"/>
      <c r="I324" s="77"/>
      <c r="J324" s="77"/>
      <c r="K324" s="77"/>
      <c r="L324" s="77"/>
      <c r="M324" s="77"/>
      <c r="N324" s="77"/>
      <c r="O324" s="77"/>
      <c r="P324" s="76"/>
    </row>
    <row r="325" spans="2:16" ht="12.75" x14ac:dyDescent="0.25">
      <c r="B325" s="78">
        <f>N316+1</f>
        <v>10</v>
      </c>
      <c r="C325" s="79"/>
      <c r="D325" s="78">
        <f>B325+1</f>
        <v>11</v>
      </c>
      <c r="E325" s="79"/>
      <c r="F325" s="78">
        <f>D325+1</f>
        <v>12</v>
      </c>
      <c r="G325" s="79"/>
      <c r="H325" s="78">
        <f>F325+1</f>
        <v>13</v>
      </c>
      <c r="I325" s="79"/>
      <c r="J325" s="78">
        <f>H325+1</f>
        <v>14</v>
      </c>
      <c r="K325" s="79"/>
      <c r="L325" s="78">
        <f>J325+1</f>
        <v>15</v>
      </c>
      <c r="M325" s="79"/>
      <c r="N325" s="78">
        <f>L325+1</f>
        <v>16</v>
      </c>
      <c r="O325" s="79"/>
      <c r="P325" s="80"/>
    </row>
    <row r="326" spans="2:16" x14ac:dyDescent="0.25">
      <c r="B326" s="64" t="s">
        <v>42</v>
      </c>
      <c r="C326" s="81" t="s">
        <v>43</v>
      </c>
      <c r="D326" s="64" t="s">
        <v>42</v>
      </c>
      <c r="E326" s="81" t="s">
        <v>43</v>
      </c>
      <c r="F326" s="64" t="s">
        <v>42</v>
      </c>
      <c r="G326" s="81" t="s">
        <v>43</v>
      </c>
      <c r="H326" s="64" t="s">
        <v>42</v>
      </c>
      <c r="I326" s="81" t="s">
        <v>43</v>
      </c>
      <c r="J326" s="64" t="s">
        <v>42</v>
      </c>
      <c r="K326" s="81" t="s">
        <v>43</v>
      </c>
      <c r="L326" s="64" t="s">
        <v>42</v>
      </c>
      <c r="M326" s="81" t="s">
        <v>43</v>
      </c>
      <c r="N326" s="64" t="s">
        <v>42</v>
      </c>
      <c r="O326" s="82" t="s">
        <v>43</v>
      </c>
      <c r="P326" s="66"/>
    </row>
    <row r="327" spans="2:16" x14ac:dyDescent="0.25">
      <c r="B327" s="136" t="str">
        <f>IF(Tilmeldingsoversigt!$C$7="x",Morgenmad," ")</f>
        <v>Morgenmad</v>
      </c>
      <c r="C327" s="67">
        <f ca="1">IF(B327=Morgenmad,Tilmeldingsoversigt!$C$15," ")</f>
        <v>16.754098360655739</v>
      </c>
      <c r="D327" s="136" t="str">
        <f>IF(Tilmeldingsoversigt!$D$7="x",Morgenmad," ")</f>
        <v>Morgenmad</v>
      </c>
      <c r="E327" s="67">
        <f ca="1">IF(D327=Morgenmad,Tilmeldingsoversigt!$C$15," ")</f>
        <v>16.754098360655739</v>
      </c>
      <c r="F327" s="136" t="str">
        <f>IF(Tilmeldingsoversigt!$E$7="x",Morgenmad," ")</f>
        <v>Morgenmad</v>
      </c>
      <c r="G327" s="67">
        <f ca="1">IF(F327=Morgenmad,Tilmeldingsoversigt!$C$15," ")</f>
        <v>16.754098360655739</v>
      </c>
      <c r="H327" s="136" t="str">
        <f>IF(Tilmeldingsoversigt!$F$7="x",Morgenmad," ")</f>
        <v>Morgenmad</v>
      </c>
      <c r="I327" s="67">
        <f ca="1">IF(H327=Morgenmad,Tilmeldingsoversigt!$C$15," ")</f>
        <v>16.754098360655739</v>
      </c>
      <c r="J327" s="136" t="str">
        <f>IF(Tilmeldingsoversigt!$G$7="x",Morgenmad," ")</f>
        <v>Morgenmad</v>
      </c>
      <c r="K327" s="67">
        <f ca="1">IF(J327=Morgenmad,Tilmeldingsoversigt!$C$15," ")</f>
        <v>16.754098360655739</v>
      </c>
      <c r="L327" s="136" t="str">
        <f>IF(Tilmeldingsoversigt!$H$7="x",Morgenmad," ")</f>
        <v>Morgenmad</v>
      </c>
      <c r="M327" s="67">
        <f ca="1">IF(L327=Morgenmad,Tilmeldingsoversigt!$C$15," ")</f>
        <v>16.754098360655739</v>
      </c>
      <c r="N327" s="136" t="str">
        <f>IF(Tilmeldingsoversigt!$I$7="x",Morgenmad," ")</f>
        <v>Morgenmad</v>
      </c>
      <c r="O327" s="83">
        <f ca="1">IF(N327=Morgenmad,Tilmeldingsoversigt!$C$15," ")</f>
        <v>16.754098360655739</v>
      </c>
      <c r="P327" s="66"/>
    </row>
    <row r="328" spans="2:16" x14ac:dyDescent="0.25">
      <c r="B328" s="68" t="str">
        <f>IF(Tilmeldingsoversigt!$C$8="x",hovedret," ")</f>
        <v>Hovedret</v>
      </c>
      <c r="C328" s="69">
        <f ca="1">IF(B328=hovedret,Tilmeldingsoversigt!$C$16," ")</f>
        <v>55.016393442622949</v>
      </c>
      <c r="D328" s="68" t="str">
        <f>IF(Tilmeldingsoversigt!$D$8="x",hovedret," ")</f>
        <v>Hovedret</v>
      </c>
      <c r="E328" s="69">
        <f ca="1">IF(D328=hovedret,Tilmeldingsoversigt!$C$16," ")</f>
        <v>55.016393442622949</v>
      </c>
      <c r="F328" s="68" t="str">
        <f>IF(Tilmeldingsoversigt!$E$8="x",hovedret," ")</f>
        <v>Hovedret</v>
      </c>
      <c r="G328" s="69">
        <f ca="1">IF(F328=hovedret,Tilmeldingsoversigt!$C$16," ")</f>
        <v>55.016393442622949</v>
      </c>
      <c r="H328" s="68" t="str">
        <f>IF(Tilmeldingsoversigt!$F$8="x",hovedret," ")</f>
        <v>Hovedret</v>
      </c>
      <c r="I328" s="69">
        <f ca="1">IF(H328=hovedret,Tilmeldingsoversigt!$C$16," ")</f>
        <v>55.016393442622949</v>
      </c>
      <c r="J328" s="68" t="str">
        <f>IF(Tilmeldingsoversigt!$G$8="x",hovedret," ")</f>
        <v>Hovedret</v>
      </c>
      <c r="K328" s="69">
        <f ca="1">IF(J328=hovedret,Tilmeldingsoversigt!$C$16," ")</f>
        <v>55.016393442622949</v>
      </c>
      <c r="L328" s="68" t="str">
        <f>IF(Tilmeldingsoversigt!$H$8="x",hovedret," ")</f>
        <v>Hovedret</v>
      </c>
      <c r="M328" s="69">
        <f ca="1">IF(L328=hovedret,Tilmeldingsoversigt!$C$16," ")</f>
        <v>55.016393442622949</v>
      </c>
      <c r="N328" s="68" t="str">
        <f>IF(Tilmeldingsoversigt!$I$8="x",hovedret," ")</f>
        <v>Hovedret</v>
      </c>
      <c r="O328" s="70">
        <f ca="1">IF(N328=hovedret,Tilmeldingsoversigt!$C$16," ")</f>
        <v>55.016393442622949</v>
      </c>
      <c r="P328" s="66"/>
    </row>
    <row r="329" spans="2:16" x14ac:dyDescent="0.25">
      <c r="B329" s="68" t="str">
        <f>IF(Tilmeldingsoversigt!$C$9="x",Aftensmad," ")</f>
        <v>Aftensmad</v>
      </c>
      <c r="C329" s="69">
        <f ca="1">IF(B329=Aftensmad,Tilmeldingsoversigt!$C$17," ")</f>
        <v>27.540983606557376</v>
      </c>
      <c r="D329" s="68" t="str">
        <f>IF(Tilmeldingsoversigt!$D$9="x",Aftensmad," ")</f>
        <v>Aftensmad</v>
      </c>
      <c r="E329" s="69">
        <f ca="1">IF(D329=Aftensmad,Tilmeldingsoversigt!$C$17," ")</f>
        <v>27.540983606557376</v>
      </c>
      <c r="F329" s="68" t="str">
        <f>IF(Tilmeldingsoversigt!$E$9="x",Aftensmad," ")</f>
        <v>Aftensmad</v>
      </c>
      <c r="G329" s="69">
        <f ca="1">IF(F329=Aftensmad,Tilmeldingsoversigt!$C$17," ")</f>
        <v>27.540983606557376</v>
      </c>
      <c r="H329" s="68" t="str">
        <f>IF(Tilmeldingsoversigt!$F$9="x",Aftensmad," ")</f>
        <v>Aftensmad</v>
      </c>
      <c r="I329" s="69">
        <f ca="1">IF(H329=Aftensmad,Tilmeldingsoversigt!$C$17," ")</f>
        <v>27.540983606557376</v>
      </c>
      <c r="J329" s="68" t="str">
        <f>IF(Tilmeldingsoversigt!$G$9="x",Aftensmad," ")</f>
        <v>Aftensmad</v>
      </c>
      <c r="K329" s="69">
        <f ca="1">IF(J329=Aftensmad,Tilmeldingsoversigt!$C$17," ")</f>
        <v>27.540983606557376</v>
      </c>
      <c r="L329" s="68" t="str">
        <f>IF(Tilmeldingsoversigt!$H$9="x",Aftensmad," ")</f>
        <v>Aftensmad</v>
      </c>
      <c r="M329" s="69">
        <f ca="1">IF(L329=Aftensmad,Tilmeldingsoversigt!$C$17," ")</f>
        <v>27.540983606557376</v>
      </c>
      <c r="N329" s="68" t="str">
        <f>IF(Tilmeldingsoversigt!$I$9="x",Aftensmad," ")</f>
        <v>Aftensmad</v>
      </c>
      <c r="O329" s="70">
        <f ca="1">IF(N329=Aftensmad,Tilmeldingsoversigt!$C$17," ")</f>
        <v>27.540983606557376</v>
      </c>
      <c r="P329" s="66"/>
    </row>
    <row r="330" spans="2:16" x14ac:dyDescent="0.25">
      <c r="B330" s="68" t="str">
        <f>IF(Tilmeldingsoversigt!$C$10="x",biret," ")</f>
        <v>Biret</v>
      </c>
      <c r="C330" s="69">
        <f>IF(B330=biret,biretpris," ")</f>
        <v>0</v>
      </c>
      <c r="D330" s="68" t="str">
        <f>IF(Tilmeldingsoversigt!$D$10="x",biret," ")</f>
        <v>Biret</v>
      </c>
      <c r="E330" s="69">
        <f>IF(D330=biret,biretpris," ")</f>
        <v>0</v>
      </c>
      <c r="F330" s="68" t="str">
        <f>IF(Tilmeldingsoversigt!$E$10="x",biret," ")</f>
        <v>Biret</v>
      </c>
      <c r="G330" s="69">
        <f>IF(F330=biret,biretpris," ")</f>
        <v>0</v>
      </c>
      <c r="H330" s="68" t="str">
        <f>IF(Tilmeldingsoversigt!$F$10="x",biret," ")</f>
        <v>Biret</v>
      </c>
      <c r="I330" s="69">
        <f>IF(H330=biret,biretpris," ")</f>
        <v>0</v>
      </c>
      <c r="J330" s="68" t="str">
        <f>IF(Tilmeldingsoversigt!$G$10="x",biret," ")</f>
        <v>Biret</v>
      </c>
      <c r="K330" s="70">
        <f>IF(J330=biret,biretpris," ")</f>
        <v>0</v>
      </c>
      <c r="L330" s="68" t="str">
        <f>IF(Tilmeldingsoversigt!$H$10="x",biret," ")</f>
        <v>Biret</v>
      </c>
      <c r="M330" s="69">
        <f>IF(L330=biret,biretpris," ")</f>
        <v>0</v>
      </c>
      <c r="N330" s="68" t="str">
        <f>IF(Tilmeldingsoversigt!$I$10="x",biret," ")</f>
        <v>Biret</v>
      </c>
      <c r="O330" s="70">
        <f>IF(N330=biret,biretpris," ")</f>
        <v>0</v>
      </c>
      <c r="P330" s="66"/>
    </row>
    <row r="331" spans="2:16" x14ac:dyDescent="0.25">
      <c r="B331" s="71" t="str">
        <f>IF(Tilmeldingsoversigt!$C$11="x",mellemmåltid," ")</f>
        <v xml:space="preserve"> </v>
      </c>
      <c r="C331" s="69" t="str">
        <f>IF(B331=mellemmåltid,mellemmåltidspris," ")</f>
        <v xml:space="preserve"> </v>
      </c>
      <c r="D331" s="71" t="str">
        <f>IF(Tilmeldingsoversigt!$C$11="x",mellemmåltid," ")</f>
        <v xml:space="preserve"> </v>
      </c>
      <c r="E331" s="72" t="str">
        <f>IF(D331=mellemmåltid,mellemmåltidspris," ")</f>
        <v xml:space="preserve"> </v>
      </c>
      <c r="F331" s="71" t="str">
        <f>IF(Tilmeldingsoversigt!$C$11="x",mellemmåltid," ")</f>
        <v xml:space="preserve"> </v>
      </c>
      <c r="G331" s="72" t="str">
        <f>IF(F331=mellemmåltid,mellemmåltidspris," ")</f>
        <v xml:space="preserve"> </v>
      </c>
      <c r="H331" s="71" t="str">
        <f>IF(Tilmeldingsoversigt!$C$11="x",mellemmåltid," ")</f>
        <v xml:space="preserve"> </v>
      </c>
      <c r="I331" s="72" t="str">
        <f>IF(H331=mellemmåltid,mellemmåltidspris," ")</f>
        <v xml:space="preserve"> </v>
      </c>
      <c r="J331" s="71" t="str">
        <f>IF(Tilmeldingsoversigt!$C$11="x",mellemmåltid," ")</f>
        <v xml:space="preserve"> </v>
      </c>
      <c r="K331" s="73" t="str">
        <f>IF(J331=mellemmåltid,mellemmåltidspris," ")</f>
        <v xml:space="preserve"> </v>
      </c>
      <c r="L331" s="71" t="str">
        <f>IF(Tilmeldingsoversigt!$C$11="x",mellemmåltid," ")</f>
        <v xml:space="preserve"> </v>
      </c>
      <c r="M331" s="72" t="str">
        <f>IF(L331=mellemmåltid,mellemmåltidspris," ")</f>
        <v xml:space="preserve"> </v>
      </c>
      <c r="N331" s="71" t="str">
        <f>IF(Tilmeldingsoversigt!$C$11="x",mellemmåltid," ")</f>
        <v xml:space="preserve"> </v>
      </c>
      <c r="O331" s="73" t="str">
        <f>IF(N331=mellemmåltid,mellemmåltidspris," ")</f>
        <v xml:space="preserve"> </v>
      </c>
      <c r="P331" s="66"/>
    </row>
    <row r="332" spans="2:16" x14ac:dyDescent="0.25">
      <c r="B332" s="84" t="s">
        <v>44</v>
      </c>
      <c r="C332" s="11">
        <f ca="1">SUM(C327:C331)</f>
        <v>99.311475409836063</v>
      </c>
      <c r="D332" s="74"/>
      <c r="E332" s="11">
        <f ca="1">SUM(E327:E331)</f>
        <v>99.311475409836063</v>
      </c>
      <c r="F332" s="74"/>
      <c r="G332" s="11">
        <f ca="1">SUM(G327:G331)</f>
        <v>99.311475409836063</v>
      </c>
      <c r="H332" s="74"/>
      <c r="I332" s="11">
        <f ca="1">SUM(I327:I331)</f>
        <v>99.311475409836063</v>
      </c>
      <c r="J332" s="74"/>
      <c r="K332" s="11">
        <f ca="1">SUM(K327:K331)</f>
        <v>99.311475409836063</v>
      </c>
      <c r="L332" s="74"/>
      <c r="M332" s="11">
        <f ca="1">SUM(M327:M331)</f>
        <v>99.311475409836063</v>
      </c>
      <c r="N332" s="74"/>
      <c r="O332" s="12">
        <f ca="1">SUM(O327:O331)</f>
        <v>99.311475409836063</v>
      </c>
      <c r="P332" s="75">
        <f ca="1">SUM(C332,E332,G332,I332,K332,M332,O332)</f>
        <v>695.18032786885237</v>
      </c>
    </row>
    <row r="333" spans="2:16" x14ac:dyDescent="0.2">
      <c r="B333" s="76"/>
      <c r="C333" s="77"/>
      <c r="D333" s="77"/>
      <c r="E333" s="77"/>
      <c r="F333" s="77"/>
      <c r="G333" s="77"/>
      <c r="H333" s="77"/>
      <c r="I333" s="77"/>
      <c r="J333" s="77"/>
      <c r="K333" s="77"/>
      <c r="L333" s="77"/>
      <c r="M333" s="77"/>
      <c r="N333" s="77"/>
      <c r="O333" s="77"/>
      <c r="P333" s="76"/>
    </row>
    <row r="334" spans="2:16" ht="12.75" x14ac:dyDescent="0.25">
      <c r="B334" s="78">
        <f>N325+1</f>
        <v>17</v>
      </c>
      <c r="C334" s="79"/>
      <c r="D334" s="78">
        <f>B334+1</f>
        <v>18</v>
      </c>
      <c r="E334" s="79"/>
      <c r="F334" s="78">
        <f>D334+1</f>
        <v>19</v>
      </c>
      <c r="G334" s="79"/>
      <c r="H334" s="78">
        <f>F334+1</f>
        <v>20</v>
      </c>
      <c r="I334" s="79"/>
      <c r="J334" s="78">
        <f>H334+1</f>
        <v>21</v>
      </c>
      <c r="K334" s="79"/>
      <c r="L334" s="78">
        <f>J334+1</f>
        <v>22</v>
      </c>
      <c r="M334" s="79"/>
      <c r="N334" s="78">
        <f>L334+1</f>
        <v>23</v>
      </c>
      <c r="O334" s="79"/>
      <c r="P334" s="80"/>
    </row>
    <row r="335" spans="2:16" x14ac:dyDescent="0.25">
      <c r="B335" s="64" t="s">
        <v>42</v>
      </c>
      <c r="C335" s="81" t="s">
        <v>43</v>
      </c>
      <c r="D335" s="64" t="s">
        <v>42</v>
      </c>
      <c r="E335" s="81" t="s">
        <v>43</v>
      </c>
      <c r="F335" s="64" t="s">
        <v>42</v>
      </c>
      <c r="G335" s="81" t="s">
        <v>43</v>
      </c>
      <c r="H335" s="64" t="s">
        <v>42</v>
      </c>
      <c r="I335" s="81" t="s">
        <v>43</v>
      </c>
      <c r="J335" s="64" t="s">
        <v>42</v>
      </c>
      <c r="K335" s="81" t="s">
        <v>43</v>
      </c>
      <c r="L335" s="64" t="s">
        <v>42</v>
      </c>
      <c r="M335" s="81" t="s">
        <v>43</v>
      </c>
      <c r="N335" s="64" t="s">
        <v>42</v>
      </c>
      <c r="O335" s="82" t="s">
        <v>43</v>
      </c>
      <c r="P335" s="66"/>
    </row>
    <row r="336" spans="2:16" x14ac:dyDescent="0.25">
      <c r="B336" s="136" t="str">
        <f>IF(Tilmeldingsoversigt!$C$7="x",Morgenmad," ")</f>
        <v>Morgenmad</v>
      </c>
      <c r="C336" s="67">
        <f ca="1">IF(B336=Morgenmad,Tilmeldingsoversigt!$C$15," ")</f>
        <v>16.754098360655739</v>
      </c>
      <c r="D336" s="136" t="str">
        <f>IF(Tilmeldingsoversigt!$D$7="x",Morgenmad," ")</f>
        <v>Morgenmad</v>
      </c>
      <c r="E336" s="67">
        <f ca="1">IF(D336=Morgenmad,Tilmeldingsoversigt!$C$15," ")</f>
        <v>16.754098360655739</v>
      </c>
      <c r="F336" s="136" t="str">
        <f>IF(Tilmeldingsoversigt!$E$7="x",Morgenmad," ")</f>
        <v>Morgenmad</v>
      </c>
      <c r="G336" s="67">
        <f ca="1">IF(F336=Morgenmad,Tilmeldingsoversigt!$C$15," ")</f>
        <v>16.754098360655739</v>
      </c>
      <c r="H336" s="136" t="str">
        <f>IF(Tilmeldingsoversigt!$F$7="x",Morgenmad," ")</f>
        <v>Morgenmad</v>
      </c>
      <c r="I336" s="67">
        <f ca="1">IF(H336=Morgenmad,Tilmeldingsoversigt!$C$15," ")</f>
        <v>16.754098360655739</v>
      </c>
      <c r="J336" s="136" t="str">
        <f>IF(Tilmeldingsoversigt!$G$7="x",Morgenmad," ")</f>
        <v>Morgenmad</v>
      </c>
      <c r="K336" s="67">
        <f ca="1">IF(J336=Morgenmad,Tilmeldingsoversigt!$C$15," ")</f>
        <v>16.754098360655739</v>
      </c>
      <c r="L336" s="136" t="str">
        <f>IF(Tilmeldingsoversigt!$H$7="x",Morgenmad," ")</f>
        <v>Morgenmad</v>
      </c>
      <c r="M336" s="67">
        <f ca="1">IF(L336=Morgenmad,Tilmeldingsoversigt!$C$15," ")</f>
        <v>16.754098360655739</v>
      </c>
      <c r="N336" s="136" t="str">
        <f>IF(Tilmeldingsoversigt!$I$7="x",Morgenmad," ")</f>
        <v>Morgenmad</v>
      </c>
      <c r="O336" s="83">
        <f ca="1">IF(N336=Morgenmad,Tilmeldingsoversigt!$C$15," ")</f>
        <v>16.754098360655739</v>
      </c>
      <c r="P336" s="66"/>
    </row>
    <row r="337" spans="2:16" x14ac:dyDescent="0.25">
      <c r="B337" s="68" t="str">
        <f>IF(Tilmeldingsoversigt!$C$8="x",hovedret," ")</f>
        <v>Hovedret</v>
      </c>
      <c r="C337" s="69">
        <f ca="1">IF(B337=hovedret,Tilmeldingsoversigt!$C$16," ")</f>
        <v>55.016393442622949</v>
      </c>
      <c r="D337" s="68" t="str">
        <f>IF(Tilmeldingsoversigt!$D$8="x",hovedret," ")</f>
        <v>Hovedret</v>
      </c>
      <c r="E337" s="69">
        <f ca="1">IF(D337=hovedret,Tilmeldingsoversigt!$C$16," ")</f>
        <v>55.016393442622949</v>
      </c>
      <c r="F337" s="68" t="str">
        <f>IF(Tilmeldingsoversigt!$E$8="x",hovedret," ")</f>
        <v>Hovedret</v>
      </c>
      <c r="G337" s="69">
        <f ca="1">IF(F337=hovedret,Tilmeldingsoversigt!$C$16," ")</f>
        <v>55.016393442622949</v>
      </c>
      <c r="H337" s="68" t="str">
        <f>IF(Tilmeldingsoversigt!$F$8="x",hovedret," ")</f>
        <v>Hovedret</v>
      </c>
      <c r="I337" s="69">
        <f ca="1">IF(H337=hovedret,Tilmeldingsoversigt!$C$16," ")</f>
        <v>55.016393442622949</v>
      </c>
      <c r="J337" s="68" t="str">
        <f>IF(Tilmeldingsoversigt!$G$8="x",hovedret," ")</f>
        <v>Hovedret</v>
      </c>
      <c r="K337" s="69">
        <f ca="1">IF(J337=hovedret,Tilmeldingsoversigt!$C$16," ")</f>
        <v>55.016393442622949</v>
      </c>
      <c r="L337" s="68" t="str">
        <f>IF(Tilmeldingsoversigt!$H$8="x",hovedret," ")</f>
        <v>Hovedret</v>
      </c>
      <c r="M337" s="69">
        <f ca="1">IF(L337=hovedret,Tilmeldingsoversigt!$C$16," ")</f>
        <v>55.016393442622949</v>
      </c>
      <c r="N337" s="68" t="str">
        <f>IF(Tilmeldingsoversigt!$I$8="x",hovedret," ")</f>
        <v>Hovedret</v>
      </c>
      <c r="O337" s="70">
        <f ca="1">IF(N337=hovedret,Tilmeldingsoversigt!$C$16," ")</f>
        <v>55.016393442622949</v>
      </c>
      <c r="P337" s="66"/>
    </row>
    <row r="338" spans="2:16" x14ac:dyDescent="0.25">
      <c r="B338" s="68" t="str">
        <f>IF(Tilmeldingsoversigt!$C$9="x",Aftensmad," ")</f>
        <v>Aftensmad</v>
      </c>
      <c r="C338" s="69">
        <f ca="1">IF(B338=Aftensmad,Tilmeldingsoversigt!$C$17," ")</f>
        <v>27.540983606557376</v>
      </c>
      <c r="D338" s="68" t="str">
        <f>IF(Tilmeldingsoversigt!$D$9="x",Aftensmad," ")</f>
        <v>Aftensmad</v>
      </c>
      <c r="E338" s="69">
        <f ca="1">IF(D338=Aftensmad,Tilmeldingsoversigt!$C$17," ")</f>
        <v>27.540983606557376</v>
      </c>
      <c r="F338" s="68" t="str">
        <f>IF(Tilmeldingsoversigt!$E$9="x",Aftensmad," ")</f>
        <v>Aftensmad</v>
      </c>
      <c r="G338" s="69">
        <f ca="1">IF(F338=Aftensmad,Tilmeldingsoversigt!$C$17," ")</f>
        <v>27.540983606557376</v>
      </c>
      <c r="H338" s="68" t="str">
        <f>IF(Tilmeldingsoversigt!$F$9="x",Aftensmad," ")</f>
        <v>Aftensmad</v>
      </c>
      <c r="I338" s="69">
        <f ca="1">IF(H338=Aftensmad,Tilmeldingsoversigt!$C$17," ")</f>
        <v>27.540983606557376</v>
      </c>
      <c r="J338" s="68" t="str">
        <f>IF(Tilmeldingsoversigt!$G$9="x",Aftensmad," ")</f>
        <v>Aftensmad</v>
      </c>
      <c r="K338" s="69">
        <f ca="1">IF(J338=Aftensmad,Tilmeldingsoversigt!$C$17," ")</f>
        <v>27.540983606557376</v>
      </c>
      <c r="L338" s="68" t="str">
        <f>IF(Tilmeldingsoversigt!$H$9="x",Aftensmad," ")</f>
        <v>Aftensmad</v>
      </c>
      <c r="M338" s="69">
        <f ca="1">IF(L338=Aftensmad,Tilmeldingsoversigt!$C$17," ")</f>
        <v>27.540983606557376</v>
      </c>
      <c r="N338" s="68" t="str">
        <f>IF(Tilmeldingsoversigt!$I$9="x",Aftensmad," ")</f>
        <v>Aftensmad</v>
      </c>
      <c r="O338" s="70">
        <f ca="1">IF(N338=Aftensmad,Tilmeldingsoversigt!$C$17," ")</f>
        <v>27.540983606557376</v>
      </c>
      <c r="P338" s="66"/>
    </row>
    <row r="339" spans="2:16" x14ac:dyDescent="0.25">
      <c r="B339" s="68" t="str">
        <f>IF(Tilmeldingsoversigt!$C$10="x",biret," ")</f>
        <v>Biret</v>
      </c>
      <c r="C339" s="69">
        <f>IF(B339=biret,biretpris," ")</f>
        <v>0</v>
      </c>
      <c r="D339" s="68" t="str">
        <f>IF(Tilmeldingsoversigt!$D$10="x",biret," ")</f>
        <v>Biret</v>
      </c>
      <c r="E339" s="69">
        <f>IF(D339=biret,biretpris," ")</f>
        <v>0</v>
      </c>
      <c r="F339" s="68" t="str">
        <f>IF(Tilmeldingsoversigt!$E$10="x",biret," ")</f>
        <v>Biret</v>
      </c>
      <c r="G339" s="69">
        <f>IF(F339=biret,biretpris," ")</f>
        <v>0</v>
      </c>
      <c r="H339" s="68" t="str">
        <f>IF(Tilmeldingsoversigt!$F$10="x",biret," ")</f>
        <v>Biret</v>
      </c>
      <c r="I339" s="69">
        <f>IF(H339=biret,biretpris," ")</f>
        <v>0</v>
      </c>
      <c r="J339" s="68" t="str">
        <f>IF(Tilmeldingsoversigt!$G$10="x",biret," ")</f>
        <v>Biret</v>
      </c>
      <c r="K339" s="70">
        <f>IF(J339=biret,biretpris," ")</f>
        <v>0</v>
      </c>
      <c r="L339" s="68" t="str">
        <f>IF(Tilmeldingsoversigt!$H$10="x",biret," ")</f>
        <v>Biret</v>
      </c>
      <c r="M339" s="69">
        <f>IF(L339=biret,biretpris," ")</f>
        <v>0</v>
      </c>
      <c r="N339" s="68" t="str">
        <f>IF(Tilmeldingsoversigt!$I$10="x",biret," ")</f>
        <v>Biret</v>
      </c>
      <c r="O339" s="70">
        <f>IF(N339=biret,biretpris," ")</f>
        <v>0</v>
      </c>
      <c r="P339" s="66"/>
    </row>
    <row r="340" spans="2:16" x14ac:dyDescent="0.25">
      <c r="B340" s="71" t="str">
        <f>IF(Tilmeldingsoversigt!$C$11="x",mellemmåltid," ")</f>
        <v xml:space="preserve"> </v>
      </c>
      <c r="C340" s="69" t="str">
        <f>IF(B340=mellemmåltid,mellemmåltidspris," ")</f>
        <v xml:space="preserve"> </v>
      </c>
      <c r="D340" s="71" t="str">
        <f>IF(Tilmeldingsoversigt!$C$11="x",mellemmåltid," ")</f>
        <v xml:space="preserve"> </v>
      </c>
      <c r="E340" s="72" t="str">
        <f>IF(D340=mellemmåltid,mellemmåltidspris," ")</f>
        <v xml:space="preserve"> </v>
      </c>
      <c r="F340" s="71" t="str">
        <f>IF(Tilmeldingsoversigt!$C$11="x",mellemmåltid," ")</f>
        <v xml:space="preserve"> </v>
      </c>
      <c r="G340" s="72" t="str">
        <f>IF(F340=mellemmåltid,mellemmåltidspris," ")</f>
        <v xml:space="preserve"> </v>
      </c>
      <c r="H340" s="71" t="str">
        <f>IF(Tilmeldingsoversigt!$C$11="x",mellemmåltid," ")</f>
        <v xml:space="preserve"> </v>
      </c>
      <c r="I340" s="72" t="str">
        <f>IF(H340=mellemmåltid,mellemmåltidspris," ")</f>
        <v xml:space="preserve"> </v>
      </c>
      <c r="J340" s="71" t="str">
        <f>IF(Tilmeldingsoversigt!$C$11="x",mellemmåltid," ")</f>
        <v xml:space="preserve"> </v>
      </c>
      <c r="K340" s="73" t="str">
        <f>IF(J340=mellemmåltid,mellemmåltidspris," ")</f>
        <v xml:space="preserve"> </v>
      </c>
      <c r="L340" s="71" t="str">
        <f>IF(Tilmeldingsoversigt!$C$11="x",mellemmåltid," ")</f>
        <v xml:space="preserve"> </v>
      </c>
      <c r="M340" s="72" t="str">
        <f>IF(L340=mellemmåltid,mellemmåltidspris," ")</f>
        <v xml:space="preserve"> </v>
      </c>
      <c r="N340" s="71" t="str">
        <f>IF(Tilmeldingsoversigt!$C$11="x",mellemmåltid," ")</f>
        <v xml:space="preserve"> </v>
      </c>
      <c r="O340" s="73" t="str">
        <f>IF(N340=mellemmåltid,mellemmåltidspris," ")</f>
        <v xml:space="preserve"> </v>
      </c>
      <c r="P340" s="66"/>
    </row>
    <row r="341" spans="2:16" x14ac:dyDescent="0.25">
      <c r="B341" s="74" t="s">
        <v>44</v>
      </c>
      <c r="C341" s="11">
        <f ca="1">SUM(C336:C340)</f>
        <v>99.311475409836063</v>
      </c>
      <c r="D341" s="74"/>
      <c r="E341" s="11">
        <f ca="1">SUM(E336:E340)</f>
        <v>99.311475409836063</v>
      </c>
      <c r="F341" s="74"/>
      <c r="G341" s="11">
        <f ca="1">SUM(G336:G340)</f>
        <v>99.311475409836063</v>
      </c>
      <c r="H341" s="74"/>
      <c r="I341" s="11">
        <f ca="1">SUM(I336:I340)</f>
        <v>99.311475409836063</v>
      </c>
      <c r="J341" s="74"/>
      <c r="K341" s="11">
        <f ca="1">SUM(K336:K340)</f>
        <v>99.311475409836063</v>
      </c>
      <c r="L341" s="74"/>
      <c r="M341" s="11">
        <f ca="1">SUM(M336:M340)</f>
        <v>99.311475409836063</v>
      </c>
      <c r="N341" s="74"/>
      <c r="O341" s="12">
        <f ca="1">SUM(O336:O340)</f>
        <v>99.311475409836063</v>
      </c>
      <c r="P341" s="75">
        <f ca="1">SUM(C341,E341,G341,I341,K341,M341,O341)</f>
        <v>695.18032786885237</v>
      </c>
    </row>
    <row r="342" spans="2:16" x14ac:dyDescent="0.2">
      <c r="B342" s="76"/>
      <c r="C342" s="77"/>
      <c r="D342" s="77"/>
      <c r="E342" s="77"/>
      <c r="F342" s="77"/>
      <c r="G342" s="77"/>
      <c r="H342" s="77"/>
      <c r="I342" s="77"/>
      <c r="J342" s="77"/>
      <c r="K342" s="77"/>
      <c r="L342" s="77"/>
      <c r="M342" s="77"/>
      <c r="N342" s="77"/>
      <c r="O342" s="77"/>
      <c r="P342" s="76"/>
    </row>
    <row r="343" spans="2:16" ht="12.75" x14ac:dyDescent="0.25">
      <c r="B343" s="78">
        <f>DAY(IF(DAY(JunSøn1)=1,JunSøn1+22,JunSøn1+29))</f>
        <v>24</v>
      </c>
      <c r="C343" s="79"/>
      <c r="D343" s="78">
        <f>DAY(IF(DAY(JunSøn1)=1,JunSøn1+23,JunSøn1+30))</f>
        <v>25</v>
      </c>
      <c r="E343" s="79"/>
      <c r="F343" s="78">
        <f>DAY(IF(DAY(JunSøn1)=1,JunSøn1+24,JunSøn1+31))</f>
        <v>26</v>
      </c>
      <c r="G343" s="79"/>
      <c r="H343" s="78">
        <f>DAY(IF(DAY(JunSøn1)=1,JunSøn1+25,JunSøn1+32))</f>
        <v>27</v>
      </c>
      <c r="I343" s="79"/>
      <c r="J343" s="78">
        <f>DAY(IF(DAY(JunSøn1)=1,JunSøn1+26,JunSøn1+33))</f>
        <v>28</v>
      </c>
      <c r="K343" s="79"/>
      <c r="L343" s="78">
        <f>DAY(IF(DAY(JunSøn1)=1,JunSøn1+27,JunSøn1+34))</f>
        <v>29</v>
      </c>
      <c r="M343" s="79"/>
      <c r="N343" s="78">
        <f>DAY(IF(DAY(JunSøn1)=1,JunSøn1+28,JunSøn1+35))</f>
        <v>30</v>
      </c>
      <c r="O343" s="79"/>
      <c r="P343" s="80"/>
    </row>
    <row r="344" spans="2:16" x14ac:dyDescent="0.25">
      <c r="B344" s="64" t="s">
        <v>42</v>
      </c>
      <c r="C344" s="81" t="s">
        <v>43</v>
      </c>
      <c r="D344" s="64" t="s">
        <v>42</v>
      </c>
      <c r="E344" s="81" t="s">
        <v>43</v>
      </c>
      <c r="F344" s="64" t="s">
        <v>42</v>
      </c>
      <c r="G344" s="81" t="s">
        <v>43</v>
      </c>
      <c r="H344" s="64" t="s">
        <v>42</v>
      </c>
      <c r="I344" s="81" t="s">
        <v>43</v>
      </c>
      <c r="J344" s="64" t="s">
        <v>42</v>
      </c>
      <c r="K344" s="81" t="s">
        <v>43</v>
      </c>
      <c r="L344" s="64" t="s">
        <v>42</v>
      </c>
      <c r="M344" s="81" t="s">
        <v>43</v>
      </c>
      <c r="N344" s="64" t="s">
        <v>42</v>
      </c>
      <c r="O344" s="82" t="s">
        <v>43</v>
      </c>
      <c r="P344" s="66"/>
    </row>
    <row r="345" spans="2:16" x14ac:dyDescent="0.25">
      <c r="B345" s="136" t="str">
        <f>IF(Tilmeldingsoversigt!$C$7="x",Morgenmad," ")</f>
        <v>Morgenmad</v>
      </c>
      <c r="C345" s="67">
        <f ca="1">IF(B345=Morgenmad,Tilmeldingsoversigt!$C$15," ")</f>
        <v>16.754098360655739</v>
      </c>
      <c r="D345" s="136" t="str">
        <f>IF(Tilmeldingsoversigt!$D$7="x",Morgenmad," ")</f>
        <v>Morgenmad</v>
      </c>
      <c r="E345" s="67">
        <f ca="1">IF(D345=Morgenmad,Tilmeldingsoversigt!$C$15," ")</f>
        <v>16.754098360655739</v>
      </c>
      <c r="F345" s="136" t="str">
        <f>IF(Tilmeldingsoversigt!$E$7="x",Morgenmad," ")</f>
        <v>Morgenmad</v>
      </c>
      <c r="G345" s="67">
        <f ca="1">IF(F345=Morgenmad,Tilmeldingsoversigt!$C$15," ")</f>
        <v>16.754098360655739</v>
      </c>
      <c r="H345" s="136" t="str">
        <f>IF(Tilmeldingsoversigt!$F$7="x",Morgenmad," ")</f>
        <v>Morgenmad</v>
      </c>
      <c r="I345" s="67">
        <f ca="1">IF(H345=Morgenmad,Tilmeldingsoversigt!$C$15," ")</f>
        <v>16.754098360655739</v>
      </c>
      <c r="J345" s="136"/>
      <c r="K345" s="67"/>
      <c r="L345" s="136"/>
      <c r="M345" s="67"/>
      <c r="N345" s="139"/>
      <c r="O345" s="86"/>
      <c r="P345" s="66"/>
    </row>
    <row r="346" spans="2:16" x14ac:dyDescent="0.25">
      <c r="B346" s="68" t="str">
        <f>IF(Tilmeldingsoversigt!$C$8="x",hovedret," ")</f>
        <v>Hovedret</v>
      </c>
      <c r="C346" s="69">
        <f ca="1">IF(B346=hovedret,Tilmeldingsoversigt!$C$16," ")</f>
        <v>55.016393442622949</v>
      </c>
      <c r="D346" s="68" t="str">
        <f>IF(Tilmeldingsoversigt!$D$8="x",hovedret," ")</f>
        <v>Hovedret</v>
      </c>
      <c r="E346" s="69">
        <f ca="1">IF(D346=hovedret,Tilmeldingsoversigt!$C$16," ")</f>
        <v>55.016393442622949</v>
      </c>
      <c r="F346" s="68" t="str">
        <f>IF(Tilmeldingsoversigt!$E$8="x",hovedret," ")</f>
        <v>Hovedret</v>
      </c>
      <c r="G346" s="69">
        <f ca="1">IF(F346=hovedret,Tilmeldingsoversigt!$C$16," ")</f>
        <v>55.016393442622949</v>
      </c>
      <c r="H346" s="68" t="str">
        <f>IF(Tilmeldingsoversigt!$F$8="x",hovedret," ")</f>
        <v>Hovedret</v>
      </c>
      <c r="I346" s="69">
        <f ca="1">IF(H346=hovedret,Tilmeldingsoversigt!$C$16," ")</f>
        <v>55.016393442622949</v>
      </c>
      <c r="J346" s="68"/>
      <c r="K346" s="69"/>
      <c r="L346" s="68"/>
      <c r="M346" s="69"/>
      <c r="N346" s="87"/>
      <c r="O346" s="88"/>
      <c r="P346" s="66"/>
    </row>
    <row r="347" spans="2:16" x14ac:dyDescent="0.25">
      <c r="B347" s="68" t="str">
        <f>IF(Tilmeldingsoversigt!$C$9="x",Aftensmad," ")</f>
        <v>Aftensmad</v>
      </c>
      <c r="C347" s="69">
        <f ca="1">IF(B347=Aftensmad,Tilmeldingsoversigt!$C$17," ")</f>
        <v>27.540983606557376</v>
      </c>
      <c r="D347" s="68" t="str">
        <f>IF(Tilmeldingsoversigt!$D$9="x",Aftensmad," ")</f>
        <v>Aftensmad</v>
      </c>
      <c r="E347" s="69">
        <f ca="1">IF(D347=Aftensmad,Tilmeldingsoversigt!$C$17," ")</f>
        <v>27.540983606557376</v>
      </c>
      <c r="F347" s="68" t="str">
        <f>IF(Tilmeldingsoversigt!$E$9="x",Aftensmad," ")</f>
        <v>Aftensmad</v>
      </c>
      <c r="G347" s="69">
        <f ca="1">IF(F347=Aftensmad,Tilmeldingsoversigt!$C$17," ")</f>
        <v>27.540983606557376</v>
      </c>
      <c r="H347" s="68" t="str">
        <f>IF(Tilmeldingsoversigt!$F$9="x",Aftensmad," ")</f>
        <v>Aftensmad</v>
      </c>
      <c r="I347" s="69">
        <f ca="1">IF(H347=Aftensmad,Tilmeldingsoversigt!$C$17," ")</f>
        <v>27.540983606557376</v>
      </c>
      <c r="J347" s="68"/>
      <c r="K347" s="69"/>
      <c r="L347" s="68"/>
      <c r="M347" s="69"/>
      <c r="N347" s="87"/>
      <c r="O347" s="88"/>
      <c r="P347" s="66"/>
    </row>
    <row r="348" spans="2:16" x14ac:dyDescent="0.25">
      <c r="B348" s="68" t="str">
        <f>IF(Tilmeldingsoversigt!$C$10="x",biret," ")</f>
        <v>Biret</v>
      </c>
      <c r="C348" s="69">
        <f>IF(B348=biret,biretpris," ")</f>
        <v>0</v>
      </c>
      <c r="D348" s="68" t="str">
        <f>IF(Tilmeldingsoversigt!$D$10="x",biret," ")</f>
        <v>Biret</v>
      </c>
      <c r="E348" s="69">
        <f>IF(D348=biret,biretpris," ")</f>
        <v>0</v>
      </c>
      <c r="F348" s="68" t="str">
        <f>IF(Tilmeldingsoversigt!$E$10="x",biret," ")</f>
        <v>Biret</v>
      </c>
      <c r="G348" s="69">
        <f>IF(F348=biret,biretpris," ")</f>
        <v>0</v>
      </c>
      <c r="H348" s="68" t="str">
        <f>IF(Tilmeldingsoversigt!$F$10="x",biret," ")</f>
        <v>Biret</v>
      </c>
      <c r="I348" s="69">
        <f>IF(H348=biret,biretpris," ")</f>
        <v>0</v>
      </c>
      <c r="J348" s="68"/>
      <c r="K348" s="69"/>
      <c r="L348" s="68"/>
      <c r="M348" s="69"/>
      <c r="N348" s="87"/>
      <c r="O348" s="88"/>
      <c r="P348" s="66"/>
    </row>
    <row r="349" spans="2:16" x14ac:dyDescent="0.25">
      <c r="B349" s="71" t="str">
        <f>IF(Tilmeldingsoversigt!$C$11="x",mellemmåltid," ")</f>
        <v xml:space="preserve"> </v>
      </c>
      <c r="C349" s="69" t="str">
        <f>IF(B349=mellemmåltid,mellemmåltidspris," ")</f>
        <v xml:space="preserve"> </v>
      </c>
      <c r="D349" s="71" t="str">
        <f>IF(Tilmeldingsoversigt!$C$11="x",mellemmåltid," ")</f>
        <v xml:space="preserve"> </v>
      </c>
      <c r="E349" s="72" t="str">
        <f>IF(D349=mellemmåltid,mellemmåltidspris," ")</f>
        <v xml:space="preserve"> </v>
      </c>
      <c r="F349" s="71" t="str">
        <f>IF(Tilmeldingsoversigt!$C$11="x",mellemmåltid," ")</f>
        <v xml:space="preserve"> </v>
      </c>
      <c r="G349" s="72" t="str">
        <f>IF(F349=mellemmåltid,mellemmåltidspris," ")</f>
        <v xml:space="preserve"> </v>
      </c>
      <c r="H349" s="71" t="str">
        <f>IF(Tilmeldingsoversigt!$C$11="x",mellemmåltid," ")</f>
        <v xml:space="preserve"> </v>
      </c>
      <c r="I349" s="72" t="str">
        <f>IF(H349=mellemmåltid,mellemmåltidspris," ")</f>
        <v xml:space="preserve"> </v>
      </c>
      <c r="J349" s="71"/>
      <c r="K349" s="72"/>
      <c r="L349" s="71"/>
      <c r="M349" s="72"/>
      <c r="N349" s="89"/>
      <c r="O349" s="90"/>
      <c r="P349" s="66"/>
    </row>
    <row r="350" spans="2:16" x14ac:dyDescent="0.25">
      <c r="B350" s="74" t="s">
        <v>44</v>
      </c>
      <c r="C350" s="11">
        <f ca="1">SUM(C345:C349)</f>
        <v>99.311475409836063</v>
      </c>
      <c r="D350" s="74"/>
      <c r="E350" s="11">
        <f ca="1">SUM(E345:E349)</f>
        <v>99.311475409836063</v>
      </c>
      <c r="F350" s="74"/>
      <c r="G350" s="11">
        <f ca="1">SUM(G345:G349)</f>
        <v>99.311475409836063</v>
      </c>
      <c r="H350" s="74"/>
      <c r="I350" s="11">
        <f ca="1">SUM(I345:I349)</f>
        <v>99.311475409836063</v>
      </c>
      <c r="J350" s="74"/>
      <c r="K350" s="11">
        <f>SUM(K345:K349)</f>
        <v>0</v>
      </c>
      <c r="L350" s="74"/>
      <c r="M350" s="11">
        <f>SUM(M345:M349)</f>
        <v>0</v>
      </c>
      <c r="N350" s="74"/>
      <c r="O350" s="12">
        <f>SUM(O345:O349)</f>
        <v>0</v>
      </c>
      <c r="P350" s="75">
        <f ca="1">SUMIF(B343:N343,"&gt;="&amp;15,C350:O350)</f>
        <v>397.24590163934425</v>
      </c>
    </row>
    <row r="351" spans="2:16" x14ac:dyDescent="0.2">
      <c r="B351" s="76"/>
      <c r="C351" s="77"/>
      <c r="D351" s="77"/>
      <c r="E351" s="77"/>
      <c r="F351" s="77"/>
      <c r="G351" s="77"/>
      <c r="H351" s="77"/>
      <c r="I351" s="77"/>
      <c r="J351" s="77"/>
      <c r="K351" s="77"/>
      <c r="L351" s="77"/>
      <c r="M351" s="77"/>
      <c r="N351" s="77"/>
      <c r="O351" s="77"/>
      <c r="P351" s="76"/>
    </row>
    <row r="352" spans="2:16" ht="12.75" hidden="1" x14ac:dyDescent="0.25">
      <c r="B352" s="78">
        <f>DAY(IF(DAY(JunSøn1)=1,JunSøn1+29,JunSøn1+36))</f>
        <v>1</v>
      </c>
      <c r="C352" s="91"/>
      <c r="D352" s="78">
        <f>DAY(IF(DAY(JunSøn1)=1,JunSøn1+30,JunSøn1+37))</f>
        <v>2</v>
      </c>
      <c r="E352" s="79"/>
      <c r="F352" s="92">
        <f>DAY(IF(DAY(JunSøn1)=1,JunSøn1+31,JunSøn1+38))</f>
        <v>3</v>
      </c>
      <c r="G352" s="79"/>
      <c r="H352" s="78">
        <f>DAY(IF(DAY(JunSøn1)=1,JunSøn1+32,JunSøn1+39))</f>
        <v>4</v>
      </c>
      <c r="I352" s="79"/>
      <c r="J352" s="78">
        <f>DAY(IF(DAY(JunSøn1)=1,JunSøn1+33,JunSøn1+40))</f>
        <v>5</v>
      </c>
      <c r="K352" s="79"/>
      <c r="L352" s="78">
        <f>DAY(IF(DAY(JunSøn1)=1,JunSøn1+34,JunSøn1+41))</f>
        <v>6</v>
      </c>
      <c r="M352" s="79"/>
      <c r="N352" s="78">
        <f>DAY(IF(DAY(JunSøn1)=1,JunSøn1+35,JunSøn1+42))</f>
        <v>7</v>
      </c>
      <c r="O352" s="79"/>
      <c r="P352" s="85"/>
    </row>
    <row r="353" spans="2:16" hidden="1" x14ac:dyDescent="0.25">
      <c r="B353" s="64" t="s">
        <v>42</v>
      </c>
      <c r="C353" s="81" t="s">
        <v>43</v>
      </c>
      <c r="D353" s="64" t="s">
        <v>42</v>
      </c>
      <c r="E353" s="81" t="s">
        <v>43</v>
      </c>
      <c r="F353" s="64" t="s">
        <v>42</v>
      </c>
      <c r="G353" s="81" t="s">
        <v>43</v>
      </c>
      <c r="H353" s="64" t="s">
        <v>42</v>
      </c>
      <c r="I353" s="81" t="s">
        <v>43</v>
      </c>
      <c r="J353" s="64" t="s">
        <v>42</v>
      </c>
      <c r="K353" s="81" t="s">
        <v>43</v>
      </c>
      <c r="L353" s="64" t="s">
        <v>42</v>
      </c>
      <c r="M353" s="81" t="s">
        <v>43</v>
      </c>
      <c r="N353" s="64" t="s">
        <v>42</v>
      </c>
      <c r="O353" s="82" t="s">
        <v>43</v>
      </c>
      <c r="P353" s="66"/>
    </row>
    <row r="354" spans="2:16" hidden="1" x14ac:dyDescent="0.25">
      <c r="B354" s="136"/>
      <c r="C354" s="67"/>
      <c r="D354" s="136"/>
      <c r="E354" s="67"/>
      <c r="F354" s="136"/>
      <c r="G354" s="67"/>
      <c r="H354" s="136"/>
      <c r="I354" s="67"/>
      <c r="J354" s="136"/>
      <c r="K354" s="67"/>
      <c r="L354" s="136"/>
      <c r="M354" s="67"/>
      <c r="N354" s="136"/>
      <c r="O354" s="83" t="str">
        <f>IF(N354=Morgenmad,Tilmeldingsoversigt!$C$15," ")</f>
        <v xml:space="preserve"> </v>
      </c>
      <c r="P354" s="66"/>
    </row>
    <row r="355" spans="2:16" hidden="1" x14ac:dyDescent="0.25">
      <c r="B355" s="68"/>
      <c r="C355" s="69"/>
      <c r="D355" s="68"/>
      <c r="E355" s="69"/>
      <c r="F355" s="68"/>
      <c r="G355" s="69"/>
      <c r="H355" s="68"/>
      <c r="I355" s="69"/>
      <c r="J355" s="68"/>
      <c r="K355" s="69"/>
      <c r="L355" s="68"/>
      <c r="M355" s="69"/>
      <c r="N355" s="68"/>
      <c r="O355" s="70" t="str">
        <f>IF(N355=hovedret,Tilmeldingsoversigt!$C$16," ")</f>
        <v xml:space="preserve"> </v>
      </c>
      <c r="P355" s="66"/>
    </row>
    <row r="356" spans="2:16" hidden="1" x14ac:dyDescent="0.25">
      <c r="B356" s="68"/>
      <c r="C356" s="69"/>
      <c r="D356" s="68"/>
      <c r="E356" s="69"/>
      <c r="F356" s="68"/>
      <c r="G356" s="69"/>
      <c r="H356" s="68"/>
      <c r="I356" s="69"/>
      <c r="J356" s="68"/>
      <c r="K356" s="69"/>
      <c r="L356" s="68"/>
      <c r="M356" s="69"/>
      <c r="N356" s="68"/>
      <c r="O356" s="70" t="str">
        <f>IF(N356=Aftensmad,Tilmeldingsoversigt!$C$17," ")</f>
        <v xml:space="preserve"> </v>
      </c>
      <c r="P356" s="66"/>
    </row>
    <row r="357" spans="2:16" hidden="1" x14ac:dyDescent="0.25">
      <c r="B357" s="68"/>
      <c r="C357" s="69"/>
      <c r="D357" s="68"/>
      <c r="E357" s="69"/>
      <c r="F357" s="68"/>
      <c r="G357" s="69"/>
      <c r="H357" s="68"/>
      <c r="I357" s="69"/>
      <c r="J357" s="68"/>
      <c r="K357" s="69"/>
      <c r="L357" s="68"/>
      <c r="M357" s="69"/>
      <c r="N357" s="68"/>
      <c r="O357" s="70"/>
      <c r="P357" s="66"/>
    </row>
    <row r="358" spans="2:16" hidden="1" x14ac:dyDescent="0.25">
      <c r="B358" s="71"/>
      <c r="C358" s="72"/>
      <c r="D358" s="71"/>
      <c r="E358" s="72"/>
      <c r="F358" s="71"/>
      <c r="G358" s="72"/>
      <c r="H358" s="71"/>
      <c r="I358" s="72"/>
      <c r="J358" s="71"/>
      <c r="K358" s="72"/>
      <c r="L358" s="71"/>
      <c r="M358" s="72"/>
      <c r="N358" s="71"/>
      <c r="O358" s="73"/>
      <c r="P358" s="66"/>
    </row>
    <row r="359" spans="2:16" hidden="1" x14ac:dyDescent="0.25">
      <c r="B359" s="74" t="s">
        <v>44</v>
      </c>
      <c r="C359" s="11">
        <f>SUM(C354:C358)</f>
        <v>0</v>
      </c>
      <c r="D359" s="74"/>
      <c r="E359" s="11">
        <f>SUM(E354:E358)</f>
        <v>0</v>
      </c>
      <c r="F359" s="74"/>
      <c r="G359" s="11">
        <f>SUM(G354:G358)</f>
        <v>0</v>
      </c>
      <c r="H359" s="74"/>
      <c r="I359" s="11">
        <f>SUM(I354:I358)</f>
        <v>0</v>
      </c>
      <c r="J359" s="74"/>
      <c r="K359" s="11">
        <f>SUM(K354:K358)</f>
        <v>0</v>
      </c>
      <c r="L359" s="74"/>
      <c r="M359" s="11">
        <f>SUM(M354:M358)</f>
        <v>0</v>
      </c>
      <c r="N359" s="74"/>
      <c r="O359" s="12">
        <f>SUM(O354:O358)</f>
        <v>0</v>
      </c>
      <c r="P359" s="75">
        <f>SUMIF(B352:N352,"&gt;="&amp;15,C359:O359)</f>
        <v>0</v>
      </c>
    </row>
    <row r="360" spans="2:16" ht="17.25" customHeight="1" x14ac:dyDescent="0.2"/>
    <row r="361" spans="2:16" ht="12" x14ac:dyDescent="0.2">
      <c r="B361" s="246" t="s">
        <v>50</v>
      </c>
      <c r="C361" s="246"/>
      <c r="D361" s="246"/>
      <c r="E361" s="246"/>
      <c r="F361" s="49"/>
      <c r="G361" s="132">
        <f ca="1">Tilmeldingsoversigt!$E$15-(31-'Tilmeldte måltider'!G362)*Morgenpris</f>
        <v>511</v>
      </c>
      <c r="H361" s="49"/>
      <c r="I361" s="132">
        <f ca="1">Tilmeldingsoversigt!$E$16-(31-'Tilmeldte måltider'!I362)*Frokostpris</f>
        <v>1678</v>
      </c>
      <c r="J361" s="49"/>
      <c r="K361" s="132">
        <f ca="1">Tilmeldingsoversigt!$E$17-(31-'Tilmeldte måltider'!K362)*Aftenpris</f>
        <v>840</v>
      </c>
      <c r="L361" s="247" t="s">
        <v>32</v>
      </c>
      <c r="M361" s="247"/>
      <c r="N361" s="247" t="s">
        <v>33</v>
      </c>
      <c r="O361" s="247"/>
      <c r="P361" s="49"/>
    </row>
    <row r="362" spans="2:16" ht="25.5" customHeight="1" x14ac:dyDescent="0.25">
      <c r="B362" s="246"/>
      <c r="C362" s="246"/>
      <c r="D362" s="246"/>
      <c r="E362" s="246"/>
      <c r="F362" s="97" t="str">
        <f>Morgenmad</f>
        <v>Morgenmad</v>
      </c>
      <c r="G362" s="97">
        <f ca="1">IF(L363=FALSE,0,(COUNTIF(B368:O409,Morgenmad)))</f>
        <v>31</v>
      </c>
      <c r="H362" s="97" t="str">
        <f>hovedret</f>
        <v>Hovedret</v>
      </c>
      <c r="I362" s="97">
        <f ca="1">IF(L363=FALSE,0,(COUNTIF(B368:O409,hovedret)))</f>
        <v>31</v>
      </c>
      <c r="J362" s="97" t="str">
        <f>Aftensmad</f>
        <v>Aftensmad</v>
      </c>
      <c r="K362" s="97">
        <f ca="1">IF(L363=FALSE,0,(COUNTIF(B369:O410,Aftensmad)))</f>
        <v>31</v>
      </c>
      <c r="L362" s="248">
        <f ca="1">IF(juli_sum=0,0,månedligtotal)</f>
        <v>3000</v>
      </c>
      <c r="M362" s="249"/>
      <c r="N362" s="248">
        <f ca="1">hovedtotal</f>
        <v>36000.409836065577</v>
      </c>
      <c r="O362" s="250"/>
      <c r="P362" s="49"/>
    </row>
    <row r="363" spans="2:16" ht="25.5" customHeight="1" x14ac:dyDescent="0.45">
      <c r="B363" s="121"/>
      <c r="C363" s="121"/>
      <c r="D363" s="121"/>
      <c r="E363" s="121"/>
      <c r="F363" s="98" t="str">
        <f>biret</f>
        <v>Biret</v>
      </c>
      <c r="G363" s="97">
        <f ca="1">IF(juli_sum=0,0,(COUNTIF($B$368:$O$417,biret)))</f>
        <v>31</v>
      </c>
      <c r="H363" s="98" t="str">
        <f>mellemmåltid</f>
        <v>Mellemmåltid</v>
      </c>
      <c r="I363" s="97">
        <f ca="1">IF(juli_sum=0,0,(COUNTIF($B$368:$O$417,mellemmåltid)))</f>
        <v>0</v>
      </c>
      <c r="J363" s="98"/>
      <c r="K363" s="98"/>
      <c r="L363" s="243" t="b">
        <f>IF(AND(L364,N364)=TRUE,TRUE,FALSE)</f>
        <v>1</v>
      </c>
      <c r="M363" s="244"/>
      <c r="N363" s="137">
        <f ca="1">G361+I361+K361</f>
        <v>3029</v>
      </c>
      <c r="O363" s="137"/>
      <c r="P363" s="49"/>
    </row>
    <row r="364" spans="2:16" ht="25.5" hidden="1" customHeight="1" x14ac:dyDescent="0.45">
      <c r="B364" s="121"/>
      <c r="C364" s="121"/>
      <c r="D364" s="121"/>
      <c r="E364" s="121"/>
      <c r="F364" s="138"/>
      <c r="G364" s="138"/>
      <c r="H364" s="138"/>
      <c r="I364" s="138"/>
      <c r="J364" s="138"/>
      <c r="K364" s="138"/>
      <c r="L364" s="242" t="b">
        <f>IF(OR(VLOOKUP(start_måned,Dataark!$C$5:$D$16,2,FALSE)&lt;=7,$L$304=TRUE),TRUE,FALSE)</f>
        <v>1</v>
      </c>
      <c r="M364" s="242"/>
      <c r="N364" s="242" t="b">
        <f>IF(AND(VLOOKUP(slut_måned,Dataark!$C$5:$D$16,2,FALSE)&gt;=7,L364=TRUE),TRUE,FALSE)</f>
        <v>1</v>
      </c>
      <c r="O364" s="242"/>
      <c r="P364" s="49"/>
    </row>
    <row r="365" spans="2:16" ht="9" customHeight="1" x14ac:dyDescent="0.2">
      <c r="B365" s="251">
        <v>1</v>
      </c>
      <c r="C365" s="251"/>
      <c r="D365" s="251">
        <v>2</v>
      </c>
      <c r="E365" s="251"/>
      <c r="F365" s="251">
        <v>3</v>
      </c>
      <c r="G365" s="251"/>
      <c r="H365" s="251">
        <v>4</v>
      </c>
      <c r="I365" s="251"/>
      <c r="J365" s="251">
        <v>5</v>
      </c>
      <c r="K365" s="251"/>
      <c r="L365" s="251">
        <v>6</v>
      </c>
      <c r="M365" s="251"/>
      <c r="N365" s="251">
        <v>7</v>
      </c>
      <c r="O365" s="251"/>
      <c r="P365" s="135">
        <f ca="1">IF(L363=TRUE,(N363),0)</f>
        <v>3029</v>
      </c>
    </row>
    <row r="366" spans="2:16" ht="15" customHeight="1" x14ac:dyDescent="0.25">
      <c r="B366" s="252" t="s">
        <v>34</v>
      </c>
      <c r="C366" s="253"/>
      <c r="D366" s="254" t="s">
        <v>35</v>
      </c>
      <c r="E366" s="255" t="e">
        <f>IF(WEEKDAY(DATEVALUE(Month1&amp;" 1, "&amp;Year1))=COLUMN(#REF!),1,IF(LEN(C366)&gt;0,C366+1,""))</f>
        <v>#NAME?</v>
      </c>
      <c r="F366" s="253" t="s">
        <v>36</v>
      </c>
      <c r="G366" s="253" t="e">
        <f>IF(WEEKDAY(DATEVALUE(Month1&amp;" 1, "&amp;Year1))=COLUMN(#REF!),1,IF(LEN(E366)&gt;0,E366+1,""))</f>
        <v>#NAME?</v>
      </c>
      <c r="H366" s="254" t="s">
        <v>37</v>
      </c>
      <c r="I366" s="255" t="e">
        <f>IF(WEEKDAY(DATEVALUE(Month1&amp;" 1, "&amp;Year1))=COLUMN(#REF!),1,IF(LEN(G366)&gt;0,G366+1,""))</f>
        <v>#NAME?</v>
      </c>
      <c r="J366" s="256" t="s">
        <v>38</v>
      </c>
      <c r="K366" s="257" t="e">
        <f>IF(WEEKDAY(DATEVALUE(Month1&amp;" 1, "&amp;Year1))=COLUMN(#REF!),1,IF(LEN(I366)&gt;0,I366+1,""))</f>
        <v>#NAME?</v>
      </c>
      <c r="L366" s="258" t="s">
        <v>39</v>
      </c>
      <c r="M366" s="259" t="e">
        <f>IF(WEEKDAY(DATEVALUE(Month1&amp;" 1, "&amp;Year1))=COLUMN(#REF!),1,IF(LEN(K366)&gt;0,K366+1,""))</f>
        <v>#NAME?</v>
      </c>
      <c r="N366" s="258" t="s">
        <v>40</v>
      </c>
      <c r="O366" s="259" t="e">
        <f>IF(WEEKDAY(DATEVALUE(Month1&amp;" 1, "&amp;Year1))=COLUMN(#REF!),1,IF(LEN(M366)&gt;0,M366+1,""))</f>
        <v>#NAME?</v>
      </c>
      <c r="P366" s="53" t="s">
        <v>41</v>
      </c>
    </row>
    <row r="367" spans="2:16" ht="12.75" x14ac:dyDescent="0.25">
      <c r="B367" s="55">
        <f>DAY(IF(DAY(JulSøn1)=1,JulSøn1-6,JulSøn1+1))</f>
        <v>1</v>
      </c>
      <c r="C367" s="56"/>
      <c r="D367" s="57">
        <f>DAY(IF(DAY(JulSøn1)=1,JulSøn1-5,JulSøn1+2))</f>
        <v>2</v>
      </c>
      <c r="E367" s="56"/>
      <c r="F367" s="57">
        <f>DAY(IF(DAY(JulSøn1)=1,JulSøn1-4,JulSøn1+3))</f>
        <v>3</v>
      </c>
      <c r="G367" s="56"/>
      <c r="H367" s="57">
        <f>DAY(IF(DAY(JulSøn1)=1,JulSøn1-3,JulSøn1+4))</f>
        <v>4</v>
      </c>
      <c r="I367" s="56"/>
      <c r="J367" s="57">
        <f>DAY(IF(DAY(JulSøn1)=1,JulSøn1-2,JulSøn1+5))</f>
        <v>5</v>
      </c>
      <c r="K367" s="56"/>
      <c r="L367" s="57">
        <f>DAY(IF(DAY(JulSøn1)=1,JulSøn1-1,JulSøn1+6))</f>
        <v>6</v>
      </c>
      <c r="M367" s="56"/>
      <c r="N367" s="58">
        <f>DAY(IF(DAY(JulSøn1)=1,JulSøn1,JulSøn1+7))</f>
        <v>7</v>
      </c>
      <c r="O367" s="59"/>
      <c r="P367" s="60"/>
    </row>
    <row r="368" spans="2:16" x14ac:dyDescent="0.25">
      <c r="B368" s="61" t="s">
        <v>42</v>
      </c>
      <c r="C368" s="62" t="s">
        <v>43</v>
      </c>
      <c r="D368" s="63" t="s">
        <v>42</v>
      </c>
      <c r="E368" s="62" t="s">
        <v>43</v>
      </c>
      <c r="F368" s="63" t="s">
        <v>42</v>
      </c>
      <c r="G368" s="62" t="s">
        <v>43</v>
      </c>
      <c r="H368" s="63" t="s">
        <v>42</v>
      </c>
      <c r="I368" s="62" t="s">
        <v>43</v>
      </c>
      <c r="J368" s="63" t="s">
        <v>42</v>
      </c>
      <c r="K368" s="62" t="s">
        <v>43</v>
      </c>
      <c r="L368" s="63" t="s">
        <v>42</v>
      </c>
      <c r="M368" s="62" t="s">
        <v>43</v>
      </c>
      <c r="N368" s="64" t="s">
        <v>42</v>
      </c>
      <c r="O368" s="65" t="s">
        <v>43</v>
      </c>
      <c r="P368" s="66"/>
    </row>
    <row r="369" spans="2:16" x14ac:dyDescent="0.25">
      <c r="B369" s="136"/>
      <c r="C369" s="67"/>
      <c r="D369" s="136"/>
      <c r="E369" s="67"/>
      <c r="F369" s="136"/>
      <c r="G369" s="67"/>
      <c r="H369" s="136"/>
      <c r="I369" s="67"/>
      <c r="J369" s="136" t="str">
        <f>IF(Tilmeldingsoversigt!$G$7="x",Morgenmad," ")</f>
        <v>Morgenmad</v>
      </c>
      <c r="K369" s="67">
        <f ca="1">IF(J369=Morgenmad,Tilmeldingsoversigt!$C$15," ")</f>
        <v>16.754098360655739</v>
      </c>
      <c r="L369" s="136" t="str">
        <f>IF(Tilmeldingsoversigt!$H$7="x",Morgenmad," ")</f>
        <v>Morgenmad</v>
      </c>
      <c r="M369" s="67">
        <f ca="1">IF(L369=Morgenmad,Tilmeldingsoversigt!$C$15," ")</f>
        <v>16.754098360655739</v>
      </c>
      <c r="N369" s="136" t="str">
        <f>IF(Tilmeldingsoversigt!$I$7="x",Morgenmad," ")</f>
        <v>Morgenmad</v>
      </c>
      <c r="O369" s="83">
        <f ca="1">IF(N369=Morgenmad,Tilmeldingsoversigt!$C$15," ")</f>
        <v>16.754098360655739</v>
      </c>
      <c r="P369" s="66"/>
    </row>
    <row r="370" spans="2:16" x14ac:dyDescent="0.25">
      <c r="B370" s="68"/>
      <c r="C370" s="69"/>
      <c r="D370" s="68"/>
      <c r="E370" s="69"/>
      <c r="F370" s="68"/>
      <c r="G370" s="69"/>
      <c r="H370" s="68"/>
      <c r="I370" s="69"/>
      <c r="J370" s="68" t="str">
        <f>IF(Tilmeldingsoversigt!$G$8="x",hovedret," ")</f>
        <v>Hovedret</v>
      </c>
      <c r="K370" s="69">
        <f ca="1">IF(J370=hovedret,Tilmeldingsoversigt!$C$16," ")</f>
        <v>55.016393442622949</v>
      </c>
      <c r="L370" s="68" t="str">
        <f>IF(Tilmeldingsoversigt!$H$8="x",hovedret," ")</f>
        <v>Hovedret</v>
      </c>
      <c r="M370" s="69">
        <f ca="1">IF(L370=hovedret,Tilmeldingsoversigt!$C$16," ")</f>
        <v>55.016393442622949</v>
      </c>
      <c r="N370" s="68" t="str">
        <f>IF(Tilmeldingsoversigt!$I$8="x",hovedret," ")</f>
        <v>Hovedret</v>
      </c>
      <c r="O370" s="70">
        <f ca="1">IF(N370=hovedret,Tilmeldingsoversigt!$C$16," ")</f>
        <v>55.016393442622949</v>
      </c>
      <c r="P370" s="66"/>
    </row>
    <row r="371" spans="2:16" x14ac:dyDescent="0.25">
      <c r="B371" s="68"/>
      <c r="C371" s="69"/>
      <c r="D371" s="68"/>
      <c r="E371" s="69"/>
      <c r="F371" s="68"/>
      <c r="G371" s="69"/>
      <c r="H371" s="68"/>
      <c r="I371" s="69"/>
      <c r="J371" s="68" t="str">
        <f>IF(Tilmeldingsoversigt!$G$9="x",Aftensmad," ")</f>
        <v>Aftensmad</v>
      </c>
      <c r="K371" s="69">
        <f ca="1">IF(J371=Aftensmad,Tilmeldingsoversigt!$C$17," ")</f>
        <v>27.540983606557376</v>
      </c>
      <c r="L371" s="68" t="str">
        <f>IF(Tilmeldingsoversigt!$H$9="x",Aftensmad," ")</f>
        <v>Aftensmad</v>
      </c>
      <c r="M371" s="69">
        <f ca="1">IF(L371=Aftensmad,Tilmeldingsoversigt!$C$17," ")</f>
        <v>27.540983606557376</v>
      </c>
      <c r="N371" s="68" t="str">
        <f>IF(Tilmeldingsoversigt!$I$9="x",Aftensmad," ")</f>
        <v>Aftensmad</v>
      </c>
      <c r="O371" s="70">
        <f ca="1">IF(N371=Aftensmad,Tilmeldingsoversigt!$C$17," ")</f>
        <v>27.540983606557376</v>
      </c>
      <c r="P371" s="66"/>
    </row>
    <row r="372" spans="2:16" x14ac:dyDescent="0.25">
      <c r="B372" s="68"/>
      <c r="C372" s="69"/>
      <c r="D372" s="68"/>
      <c r="E372" s="69"/>
      <c r="F372" s="68"/>
      <c r="G372" s="69"/>
      <c r="H372" s="68"/>
      <c r="I372" s="69"/>
      <c r="J372" s="68" t="str">
        <f>IF(Tilmeldingsoversigt!$G$10="x",biret," ")</f>
        <v>Biret</v>
      </c>
      <c r="K372" s="70">
        <f>IF(J372=biret,biretpris," ")</f>
        <v>0</v>
      </c>
      <c r="L372" s="68" t="str">
        <f>IF(Tilmeldingsoversigt!$H$10="x",biret," ")</f>
        <v>Biret</v>
      </c>
      <c r="M372" s="69">
        <f>IF(L372=biret,biretpris," ")</f>
        <v>0</v>
      </c>
      <c r="N372" s="68" t="str">
        <f>IF(Tilmeldingsoversigt!$I$10="x",biret," ")</f>
        <v>Biret</v>
      </c>
      <c r="O372" s="70">
        <f>IF(N372=biret,biretpris," ")</f>
        <v>0</v>
      </c>
      <c r="P372" s="66"/>
    </row>
    <row r="373" spans="2:16" x14ac:dyDescent="0.25">
      <c r="B373" s="71"/>
      <c r="C373" s="72"/>
      <c r="D373" s="71"/>
      <c r="E373" s="72"/>
      <c r="F373" s="71"/>
      <c r="G373" s="72"/>
      <c r="H373" s="71"/>
      <c r="I373" s="72"/>
      <c r="J373" s="71" t="str">
        <f>IF(Tilmeldingsoversigt!$C$11="x",mellemmåltid," ")</f>
        <v xml:space="preserve"> </v>
      </c>
      <c r="K373" s="73" t="str">
        <f>IF(J373=mellemmåltid,mellemmåltidspris," ")</f>
        <v xml:space="preserve"> </v>
      </c>
      <c r="L373" s="71" t="str">
        <f>IF(Tilmeldingsoversigt!$C$11="x",mellemmåltid," ")</f>
        <v xml:space="preserve"> </v>
      </c>
      <c r="M373" s="72" t="str">
        <f>IF(L373=mellemmåltid,mellemmåltidspris," ")</f>
        <v xml:space="preserve"> </v>
      </c>
      <c r="N373" s="71" t="str">
        <f>IF(Tilmeldingsoversigt!$C$11="x",mellemmåltid," ")</f>
        <v xml:space="preserve"> </v>
      </c>
      <c r="O373" s="73" t="str">
        <f>IF(N373=mellemmåltid,mellemmåltidspris," ")</f>
        <v xml:space="preserve"> </v>
      </c>
      <c r="P373" s="66"/>
    </row>
    <row r="374" spans="2:16" x14ac:dyDescent="0.25">
      <c r="B374" s="74" t="s">
        <v>44</v>
      </c>
      <c r="C374" s="11">
        <f>SUM(C369:C373)</f>
        <v>0</v>
      </c>
      <c r="D374" s="74"/>
      <c r="E374" s="11">
        <f>SUM(E369:E373)</f>
        <v>0</v>
      </c>
      <c r="F374" s="74"/>
      <c r="G374" s="11">
        <f>SUM(G369:G373)</f>
        <v>0</v>
      </c>
      <c r="H374" s="74"/>
      <c r="I374" s="11">
        <f>SUM(I369:I373)</f>
        <v>0</v>
      </c>
      <c r="J374" s="74"/>
      <c r="K374" s="11">
        <f ca="1">SUM(K369:K373)</f>
        <v>99.311475409836063</v>
      </c>
      <c r="L374" s="74"/>
      <c r="M374" s="11">
        <f ca="1">SUM(M369:M373)</f>
        <v>99.311475409836063</v>
      </c>
      <c r="N374" s="74"/>
      <c r="O374" s="12">
        <f ca="1">SUM(O369:O373)</f>
        <v>99.311475409836063</v>
      </c>
      <c r="P374" s="75">
        <f ca="1">SUMIF(B367:N367,"&lt;8",C374:O374)</f>
        <v>297.93442622950818</v>
      </c>
    </row>
    <row r="375" spans="2:16" x14ac:dyDescent="0.2">
      <c r="B375" s="76"/>
      <c r="C375" s="77"/>
      <c r="D375" s="77"/>
      <c r="E375" s="77"/>
      <c r="F375" s="77"/>
      <c r="G375" s="77"/>
      <c r="H375" s="77"/>
      <c r="I375" s="77"/>
      <c r="J375" s="77"/>
      <c r="K375" s="77"/>
      <c r="L375" s="77"/>
      <c r="M375" s="77"/>
      <c r="N375" s="77"/>
      <c r="O375" s="77"/>
      <c r="P375" s="76"/>
    </row>
    <row r="376" spans="2:16" ht="12.75" x14ac:dyDescent="0.25">
      <c r="B376" s="78">
        <f>N367+1</f>
        <v>8</v>
      </c>
      <c r="C376" s="79"/>
      <c r="D376" s="78">
        <f>B376+1</f>
        <v>9</v>
      </c>
      <c r="E376" s="79"/>
      <c r="F376" s="78">
        <f>D376+1</f>
        <v>10</v>
      </c>
      <c r="G376" s="79"/>
      <c r="H376" s="78">
        <f>F376+1</f>
        <v>11</v>
      </c>
      <c r="I376" s="79"/>
      <c r="J376" s="78">
        <f>H376+1</f>
        <v>12</v>
      </c>
      <c r="K376" s="79"/>
      <c r="L376" s="78">
        <f>J376+1</f>
        <v>13</v>
      </c>
      <c r="M376" s="79"/>
      <c r="N376" s="78">
        <f>L376+1</f>
        <v>14</v>
      </c>
      <c r="O376" s="79"/>
      <c r="P376" s="80"/>
    </row>
    <row r="377" spans="2:16" x14ac:dyDescent="0.25">
      <c r="B377" s="64" t="s">
        <v>42</v>
      </c>
      <c r="C377" s="81" t="s">
        <v>43</v>
      </c>
      <c r="D377" s="64" t="s">
        <v>42</v>
      </c>
      <c r="E377" s="81" t="s">
        <v>43</v>
      </c>
      <c r="F377" s="64" t="s">
        <v>42</v>
      </c>
      <c r="G377" s="81" t="s">
        <v>43</v>
      </c>
      <c r="H377" s="64" t="s">
        <v>42</v>
      </c>
      <c r="I377" s="81" t="s">
        <v>43</v>
      </c>
      <c r="J377" s="64" t="s">
        <v>42</v>
      </c>
      <c r="K377" s="81" t="s">
        <v>43</v>
      </c>
      <c r="L377" s="64" t="s">
        <v>42</v>
      </c>
      <c r="M377" s="81" t="s">
        <v>43</v>
      </c>
      <c r="N377" s="64" t="s">
        <v>42</v>
      </c>
      <c r="O377" s="82" t="s">
        <v>43</v>
      </c>
      <c r="P377" s="66"/>
    </row>
    <row r="378" spans="2:16" x14ac:dyDescent="0.25">
      <c r="B378" s="136" t="str">
        <f>IF(Tilmeldingsoversigt!$C$7="x",Morgenmad," ")</f>
        <v>Morgenmad</v>
      </c>
      <c r="C378" s="67">
        <f ca="1">IF(B378=Morgenmad,Tilmeldingsoversigt!$C$15," ")</f>
        <v>16.754098360655739</v>
      </c>
      <c r="D378" s="136" t="str">
        <f>IF(Tilmeldingsoversigt!$D$7="x",Morgenmad," ")</f>
        <v>Morgenmad</v>
      </c>
      <c r="E378" s="67">
        <f ca="1">IF(D378=Morgenmad,Tilmeldingsoversigt!$C$15," ")</f>
        <v>16.754098360655739</v>
      </c>
      <c r="F378" s="136" t="str">
        <f>IF(Tilmeldingsoversigt!$E$7="x",Morgenmad," ")</f>
        <v>Morgenmad</v>
      </c>
      <c r="G378" s="67">
        <f ca="1">IF(F378=Morgenmad,Tilmeldingsoversigt!$C$15," ")</f>
        <v>16.754098360655739</v>
      </c>
      <c r="H378" s="136" t="str">
        <f>IF(Tilmeldingsoversigt!$F$7="x",Morgenmad," ")</f>
        <v>Morgenmad</v>
      </c>
      <c r="I378" s="67">
        <f ca="1">IF(H378=Morgenmad,Tilmeldingsoversigt!$C$15," ")</f>
        <v>16.754098360655739</v>
      </c>
      <c r="J378" s="136" t="str">
        <f>IF(Tilmeldingsoversigt!$G$7="x",Morgenmad," ")</f>
        <v>Morgenmad</v>
      </c>
      <c r="K378" s="67">
        <f ca="1">IF(J378=Morgenmad,Tilmeldingsoversigt!$C$15," ")</f>
        <v>16.754098360655739</v>
      </c>
      <c r="L378" s="136" t="str">
        <f>IF(Tilmeldingsoversigt!$H$7="x",Morgenmad," ")</f>
        <v>Morgenmad</v>
      </c>
      <c r="M378" s="67">
        <f ca="1">IF(L378=Morgenmad,Tilmeldingsoversigt!$C$15," ")</f>
        <v>16.754098360655739</v>
      </c>
      <c r="N378" s="136" t="str">
        <f>IF(Tilmeldingsoversigt!$I$7="x",Morgenmad," ")</f>
        <v>Morgenmad</v>
      </c>
      <c r="O378" s="83">
        <f ca="1">IF(N378=Morgenmad,Tilmeldingsoversigt!$C$15," ")</f>
        <v>16.754098360655739</v>
      </c>
      <c r="P378" s="66"/>
    </row>
    <row r="379" spans="2:16" x14ac:dyDescent="0.25">
      <c r="B379" s="68" t="str">
        <f>IF(Tilmeldingsoversigt!$C$8="x",hovedret," ")</f>
        <v>Hovedret</v>
      </c>
      <c r="C379" s="69">
        <f ca="1">IF(B379=hovedret,Tilmeldingsoversigt!$C$16," ")</f>
        <v>55.016393442622949</v>
      </c>
      <c r="D379" s="68" t="str">
        <f>IF(Tilmeldingsoversigt!$D$8="x",hovedret," ")</f>
        <v>Hovedret</v>
      </c>
      <c r="E379" s="69">
        <f ca="1">IF(D379=hovedret,Tilmeldingsoversigt!$C$16," ")</f>
        <v>55.016393442622949</v>
      </c>
      <c r="F379" s="68" t="str">
        <f>IF(Tilmeldingsoversigt!$E$8="x",hovedret," ")</f>
        <v>Hovedret</v>
      </c>
      <c r="G379" s="69">
        <f ca="1">IF(F379=hovedret,Tilmeldingsoversigt!$C$16," ")</f>
        <v>55.016393442622949</v>
      </c>
      <c r="H379" s="68" t="str">
        <f>IF(Tilmeldingsoversigt!$F$8="x",hovedret," ")</f>
        <v>Hovedret</v>
      </c>
      <c r="I379" s="69">
        <f ca="1">IF(H379=hovedret,Tilmeldingsoversigt!$C$16," ")</f>
        <v>55.016393442622949</v>
      </c>
      <c r="J379" s="68" t="str">
        <f>IF(Tilmeldingsoversigt!$G$8="x",hovedret," ")</f>
        <v>Hovedret</v>
      </c>
      <c r="K379" s="69">
        <f ca="1">IF(J379=hovedret,Tilmeldingsoversigt!$C$16," ")</f>
        <v>55.016393442622949</v>
      </c>
      <c r="L379" s="68" t="str">
        <f>IF(Tilmeldingsoversigt!$H$8="x",hovedret," ")</f>
        <v>Hovedret</v>
      </c>
      <c r="M379" s="69">
        <f ca="1">IF(L379=hovedret,Tilmeldingsoversigt!$C$16," ")</f>
        <v>55.016393442622949</v>
      </c>
      <c r="N379" s="68" t="str">
        <f>IF(Tilmeldingsoversigt!$I$8="x",hovedret," ")</f>
        <v>Hovedret</v>
      </c>
      <c r="O379" s="70">
        <f ca="1">IF(N379=hovedret,Tilmeldingsoversigt!$C$16," ")</f>
        <v>55.016393442622949</v>
      </c>
      <c r="P379" s="66"/>
    </row>
    <row r="380" spans="2:16" x14ac:dyDescent="0.25">
      <c r="B380" s="68" t="str">
        <f>IF(Tilmeldingsoversigt!$C$9="x",Aftensmad," ")</f>
        <v>Aftensmad</v>
      </c>
      <c r="C380" s="69">
        <f ca="1">IF(B380=Aftensmad,Tilmeldingsoversigt!$C$17," ")</f>
        <v>27.540983606557376</v>
      </c>
      <c r="D380" s="68" t="str">
        <f>IF(Tilmeldingsoversigt!$D$9="x",Aftensmad," ")</f>
        <v>Aftensmad</v>
      </c>
      <c r="E380" s="69">
        <f ca="1">IF(D380=Aftensmad,Tilmeldingsoversigt!$C$17," ")</f>
        <v>27.540983606557376</v>
      </c>
      <c r="F380" s="68" t="str">
        <f>IF(Tilmeldingsoversigt!$E$9="x",Aftensmad," ")</f>
        <v>Aftensmad</v>
      </c>
      <c r="G380" s="69">
        <f ca="1">IF(F380=Aftensmad,Tilmeldingsoversigt!$C$17," ")</f>
        <v>27.540983606557376</v>
      </c>
      <c r="H380" s="68" t="str">
        <f>IF(Tilmeldingsoversigt!$F$9="x",Aftensmad," ")</f>
        <v>Aftensmad</v>
      </c>
      <c r="I380" s="69">
        <f ca="1">IF(H380=Aftensmad,Tilmeldingsoversigt!$C$17," ")</f>
        <v>27.540983606557376</v>
      </c>
      <c r="J380" s="68" t="str">
        <f>IF(Tilmeldingsoversigt!$G$9="x",Aftensmad," ")</f>
        <v>Aftensmad</v>
      </c>
      <c r="K380" s="69">
        <f ca="1">IF(J380=Aftensmad,Tilmeldingsoversigt!$C$17," ")</f>
        <v>27.540983606557376</v>
      </c>
      <c r="L380" s="68" t="str">
        <f>IF(Tilmeldingsoversigt!$H$9="x",Aftensmad," ")</f>
        <v>Aftensmad</v>
      </c>
      <c r="M380" s="69">
        <f ca="1">IF(L380=Aftensmad,Tilmeldingsoversigt!$C$17," ")</f>
        <v>27.540983606557376</v>
      </c>
      <c r="N380" s="68" t="str">
        <f>IF(Tilmeldingsoversigt!$I$9="x",Aftensmad," ")</f>
        <v>Aftensmad</v>
      </c>
      <c r="O380" s="70">
        <f ca="1">IF(N380=Aftensmad,Tilmeldingsoversigt!$C$17," ")</f>
        <v>27.540983606557376</v>
      </c>
      <c r="P380" s="66"/>
    </row>
    <row r="381" spans="2:16" x14ac:dyDescent="0.25">
      <c r="B381" s="68" t="str">
        <f>IF(Tilmeldingsoversigt!$C$10="x",biret," ")</f>
        <v>Biret</v>
      </c>
      <c r="C381" s="69">
        <f>IF(B381=biret,biretpris," ")</f>
        <v>0</v>
      </c>
      <c r="D381" s="68" t="str">
        <f>IF(Tilmeldingsoversigt!$D$10="x",biret," ")</f>
        <v>Biret</v>
      </c>
      <c r="E381" s="69">
        <f>IF(D381=biret,biretpris," ")</f>
        <v>0</v>
      </c>
      <c r="F381" s="68" t="str">
        <f>IF(Tilmeldingsoversigt!$E$10="x",biret," ")</f>
        <v>Biret</v>
      </c>
      <c r="G381" s="69">
        <f>IF(F381=biret,biretpris," ")</f>
        <v>0</v>
      </c>
      <c r="H381" s="68" t="str">
        <f>IF(Tilmeldingsoversigt!$F$10="x",biret," ")</f>
        <v>Biret</v>
      </c>
      <c r="I381" s="69">
        <f>IF(H381=biret,biretpris," ")</f>
        <v>0</v>
      </c>
      <c r="J381" s="68" t="str">
        <f>IF(Tilmeldingsoversigt!$G$10="x",biret," ")</f>
        <v>Biret</v>
      </c>
      <c r="K381" s="70">
        <f>IF(J381=biret,biretpris," ")</f>
        <v>0</v>
      </c>
      <c r="L381" s="68" t="str">
        <f>IF(Tilmeldingsoversigt!$H$10="x",biret," ")</f>
        <v>Biret</v>
      </c>
      <c r="M381" s="69">
        <f>IF(L381=biret,biretpris," ")</f>
        <v>0</v>
      </c>
      <c r="N381" s="68" t="str">
        <f>IF(Tilmeldingsoversigt!$I$10="x",biret," ")</f>
        <v>Biret</v>
      </c>
      <c r="O381" s="70">
        <f>IF(N381=biret,biretpris," ")</f>
        <v>0</v>
      </c>
      <c r="P381" s="66"/>
    </row>
    <row r="382" spans="2:16" x14ac:dyDescent="0.25">
      <c r="B382" s="71" t="str">
        <f>IF(Tilmeldingsoversigt!$C$11="x",mellemmåltid," ")</f>
        <v xml:space="preserve"> </v>
      </c>
      <c r="C382" s="69" t="str">
        <f>IF(B382=mellemmåltid,mellemmåltidspris," ")</f>
        <v xml:space="preserve"> </v>
      </c>
      <c r="D382" s="71" t="str">
        <f>IF(Tilmeldingsoversigt!$C$11="x",mellemmåltid," ")</f>
        <v xml:space="preserve"> </v>
      </c>
      <c r="E382" s="72" t="str">
        <f>IF(D382=mellemmåltid,mellemmåltidspris," ")</f>
        <v xml:space="preserve"> </v>
      </c>
      <c r="F382" s="71" t="str">
        <f>IF(Tilmeldingsoversigt!$C$11="x",mellemmåltid," ")</f>
        <v xml:space="preserve"> </v>
      </c>
      <c r="G382" s="72" t="str">
        <f>IF(F382=mellemmåltid,mellemmåltidspris," ")</f>
        <v xml:space="preserve"> </v>
      </c>
      <c r="H382" s="71" t="str">
        <f>IF(Tilmeldingsoversigt!$C$11="x",mellemmåltid," ")</f>
        <v xml:space="preserve"> </v>
      </c>
      <c r="I382" s="72" t="str">
        <f>IF(H382=mellemmåltid,mellemmåltidspris," ")</f>
        <v xml:space="preserve"> </v>
      </c>
      <c r="J382" s="71" t="str">
        <f>IF(Tilmeldingsoversigt!$C$11="x",mellemmåltid," ")</f>
        <v xml:space="preserve"> </v>
      </c>
      <c r="K382" s="73" t="str">
        <f>IF(J382=mellemmåltid,mellemmåltidspris," ")</f>
        <v xml:space="preserve"> </v>
      </c>
      <c r="L382" s="71" t="str">
        <f>IF(Tilmeldingsoversigt!$C$11="x",mellemmåltid," ")</f>
        <v xml:space="preserve"> </v>
      </c>
      <c r="M382" s="72" t="str">
        <f>IF(L382=mellemmåltid,mellemmåltidspris," ")</f>
        <v xml:space="preserve"> </v>
      </c>
      <c r="N382" s="71" t="str">
        <f>IF(Tilmeldingsoversigt!$C$11="x",mellemmåltid," ")</f>
        <v xml:space="preserve"> </v>
      </c>
      <c r="O382" s="73" t="str">
        <f>IF(N382=mellemmåltid,mellemmåltidspris," ")</f>
        <v xml:space="preserve"> </v>
      </c>
      <c r="P382" s="66"/>
    </row>
    <row r="383" spans="2:16" x14ac:dyDescent="0.25">
      <c r="B383" s="74" t="s">
        <v>44</v>
      </c>
      <c r="C383" s="11">
        <f ca="1">SUM(C378:C382)</f>
        <v>99.311475409836063</v>
      </c>
      <c r="D383" s="74"/>
      <c r="E383" s="11">
        <f ca="1">SUM(E378:E382)</f>
        <v>99.311475409836063</v>
      </c>
      <c r="F383" s="74"/>
      <c r="G383" s="11">
        <f ca="1">SUM(G378:G382)</f>
        <v>99.311475409836063</v>
      </c>
      <c r="H383" s="74"/>
      <c r="I383" s="11">
        <f ca="1">SUM(I378:I382)</f>
        <v>99.311475409836063</v>
      </c>
      <c r="J383" s="74"/>
      <c r="K383" s="11">
        <f ca="1">SUM(K378:K382)</f>
        <v>99.311475409836063</v>
      </c>
      <c r="L383" s="74"/>
      <c r="M383" s="11">
        <f ca="1">SUM(M378:M382)</f>
        <v>99.311475409836063</v>
      </c>
      <c r="N383" s="74"/>
      <c r="O383" s="12">
        <f ca="1">SUM(O378:O382)</f>
        <v>99.311475409836063</v>
      </c>
      <c r="P383" s="75">
        <f ca="1">SUM(C383,E383,G383,I383,K383,M383,O383)</f>
        <v>695.18032786885237</v>
      </c>
    </row>
    <row r="384" spans="2:16" x14ac:dyDescent="0.2">
      <c r="B384" s="76"/>
      <c r="C384" s="77"/>
      <c r="D384" s="77"/>
      <c r="E384" s="77"/>
      <c r="F384" s="77"/>
      <c r="G384" s="77"/>
      <c r="H384" s="77"/>
      <c r="I384" s="77"/>
      <c r="J384" s="77"/>
      <c r="K384" s="77"/>
      <c r="L384" s="77"/>
      <c r="M384" s="77"/>
      <c r="N384" s="77"/>
      <c r="O384" s="77"/>
      <c r="P384" s="76"/>
    </row>
    <row r="385" spans="2:16" ht="12.75" x14ac:dyDescent="0.25">
      <c r="B385" s="78">
        <f>N376+1</f>
        <v>15</v>
      </c>
      <c r="C385" s="79"/>
      <c r="D385" s="78">
        <f>B385+1</f>
        <v>16</v>
      </c>
      <c r="E385" s="79"/>
      <c r="F385" s="78">
        <f>D385+1</f>
        <v>17</v>
      </c>
      <c r="G385" s="79"/>
      <c r="H385" s="78">
        <f>F385+1</f>
        <v>18</v>
      </c>
      <c r="I385" s="79"/>
      <c r="J385" s="78">
        <f>H385+1</f>
        <v>19</v>
      </c>
      <c r="K385" s="79"/>
      <c r="L385" s="78">
        <f>J385+1</f>
        <v>20</v>
      </c>
      <c r="M385" s="79"/>
      <c r="N385" s="78">
        <f>L385+1</f>
        <v>21</v>
      </c>
      <c r="O385" s="79"/>
      <c r="P385" s="80"/>
    </row>
    <row r="386" spans="2:16" x14ac:dyDescent="0.25">
      <c r="B386" s="64" t="s">
        <v>42</v>
      </c>
      <c r="C386" s="81" t="s">
        <v>43</v>
      </c>
      <c r="D386" s="64" t="s">
        <v>42</v>
      </c>
      <c r="E386" s="81" t="s">
        <v>43</v>
      </c>
      <c r="F386" s="64" t="s">
        <v>42</v>
      </c>
      <c r="G386" s="81" t="s">
        <v>43</v>
      </c>
      <c r="H386" s="64" t="s">
        <v>42</v>
      </c>
      <c r="I386" s="81" t="s">
        <v>43</v>
      </c>
      <c r="J386" s="64" t="s">
        <v>42</v>
      </c>
      <c r="K386" s="81" t="s">
        <v>43</v>
      </c>
      <c r="L386" s="64" t="s">
        <v>42</v>
      </c>
      <c r="M386" s="81" t="s">
        <v>43</v>
      </c>
      <c r="N386" s="64" t="s">
        <v>42</v>
      </c>
      <c r="O386" s="82" t="s">
        <v>43</v>
      </c>
      <c r="P386" s="66"/>
    </row>
    <row r="387" spans="2:16" x14ac:dyDescent="0.25">
      <c r="B387" s="136" t="str">
        <f>IF(Tilmeldingsoversigt!$C$7="x",Morgenmad," ")</f>
        <v>Morgenmad</v>
      </c>
      <c r="C387" s="67">
        <f ca="1">IF(B387=Morgenmad,Tilmeldingsoversigt!$C$15," ")</f>
        <v>16.754098360655739</v>
      </c>
      <c r="D387" s="136" t="str">
        <f>IF(Tilmeldingsoversigt!$D$7="x",Morgenmad," ")</f>
        <v>Morgenmad</v>
      </c>
      <c r="E387" s="67">
        <f ca="1">IF(D387=Morgenmad,Tilmeldingsoversigt!$C$15," ")</f>
        <v>16.754098360655739</v>
      </c>
      <c r="F387" s="136" t="str">
        <f>IF(Tilmeldingsoversigt!$E$7="x",Morgenmad," ")</f>
        <v>Morgenmad</v>
      </c>
      <c r="G387" s="67">
        <f ca="1">IF(F387=Morgenmad,Tilmeldingsoversigt!$C$15," ")</f>
        <v>16.754098360655739</v>
      </c>
      <c r="H387" s="136" t="str">
        <f>IF(Tilmeldingsoversigt!$F$7="x",Morgenmad," ")</f>
        <v>Morgenmad</v>
      </c>
      <c r="I387" s="67">
        <f ca="1">IF(H387=Morgenmad,Tilmeldingsoversigt!$C$15," ")</f>
        <v>16.754098360655739</v>
      </c>
      <c r="J387" s="136" t="str">
        <f>IF(Tilmeldingsoversigt!$G$7="x",Morgenmad," ")</f>
        <v>Morgenmad</v>
      </c>
      <c r="K387" s="67">
        <f ca="1">IF(J387=Morgenmad,Tilmeldingsoversigt!$C$15," ")</f>
        <v>16.754098360655739</v>
      </c>
      <c r="L387" s="136" t="str">
        <f>IF(Tilmeldingsoversigt!$H$7="x",Morgenmad," ")</f>
        <v>Morgenmad</v>
      </c>
      <c r="M387" s="67">
        <f ca="1">IF(L387=Morgenmad,Tilmeldingsoversigt!$C$15," ")</f>
        <v>16.754098360655739</v>
      </c>
      <c r="N387" s="136" t="str">
        <f>IF(Tilmeldingsoversigt!$I$7="x",Morgenmad," ")</f>
        <v>Morgenmad</v>
      </c>
      <c r="O387" s="83">
        <f ca="1">IF(N387=Morgenmad,Tilmeldingsoversigt!$C$15," ")</f>
        <v>16.754098360655739</v>
      </c>
      <c r="P387" s="66"/>
    </row>
    <row r="388" spans="2:16" x14ac:dyDescent="0.25">
      <c r="B388" s="68" t="str">
        <f>IF(Tilmeldingsoversigt!$C$8="x",hovedret," ")</f>
        <v>Hovedret</v>
      </c>
      <c r="C388" s="69">
        <f ca="1">IF(B388=hovedret,Tilmeldingsoversigt!$C$16," ")</f>
        <v>55.016393442622949</v>
      </c>
      <c r="D388" s="68" t="str">
        <f>IF(Tilmeldingsoversigt!$D$8="x",hovedret," ")</f>
        <v>Hovedret</v>
      </c>
      <c r="E388" s="69">
        <f ca="1">IF(D388=hovedret,Tilmeldingsoversigt!$C$16," ")</f>
        <v>55.016393442622949</v>
      </c>
      <c r="F388" s="68" t="str">
        <f>IF(Tilmeldingsoversigt!$E$8="x",hovedret," ")</f>
        <v>Hovedret</v>
      </c>
      <c r="G388" s="69">
        <f ca="1">IF(F388=hovedret,Tilmeldingsoversigt!$C$16," ")</f>
        <v>55.016393442622949</v>
      </c>
      <c r="H388" s="68" t="str">
        <f>IF(Tilmeldingsoversigt!$F$8="x",hovedret," ")</f>
        <v>Hovedret</v>
      </c>
      <c r="I388" s="69">
        <f ca="1">IF(H388=hovedret,Tilmeldingsoversigt!$C$16," ")</f>
        <v>55.016393442622949</v>
      </c>
      <c r="J388" s="68" t="str">
        <f>IF(Tilmeldingsoversigt!$G$8="x",hovedret," ")</f>
        <v>Hovedret</v>
      </c>
      <c r="K388" s="69">
        <f ca="1">IF(J388=hovedret,Tilmeldingsoversigt!$C$16," ")</f>
        <v>55.016393442622949</v>
      </c>
      <c r="L388" s="68" t="str">
        <f>IF(Tilmeldingsoversigt!$H$8="x",hovedret," ")</f>
        <v>Hovedret</v>
      </c>
      <c r="M388" s="69">
        <f ca="1">IF(L388=hovedret,Tilmeldingsoversigt!$C$16," ")</f>
        <v>55.016393442622949</v>
      </c>
      <c r="N388" s="68" t="str">
        <f>IF(Tilmeldingsoversigt!$I$8="x",hovedret," ")</f>
        <v>Hovedret</v>
      </c>
      <c r="O388" s="70">
        <f ca="1">IF(N388=hovedret,Tilmeldingsoversigt!$C$16," ")</f>
        <v>55.016393442622949</v>
      </c>
      <c r="P388" s="66"/>
    </row>
    <row r="389" spans="2:16" x14ac:dyDescent="0.25">
      <c r="B389" s="68" t="str">
        <f>IF(Tilmeldingsoversigt!$C$9="x",Aftensmad," ")</f>
        <v>Aftensmad</v>
      </c>
      <c r="C389" s="69">
        <f ca="1">IF(B389=Aftensmad,Tilmeldingsoversigt!$C$17," ")</f>
        <v>27.540983606557376</v>
      </c>
      <c r="D389" s="68" t="str">
        <f>IF(Tilmeldingsoversigt!$D$9="x",Aftensmad," ")</f>
        <v>Aftensmad</v>
      </c>
      <c r="E389" s="69">
        <f ca="1">IF(D389=Aftensmad,Tilmeldingsoversigt!$C$17," ")</f>
        <v>27.540983606557376</v>
      </c>
      <c r="F389" s="68" t="str">
        <f>IF(Tilmeldingsoversigt!$E$9="x",Aftensmad," ")</f>
        <v>Aftensmad</v>
      </c>
      <c r="G389" s="69">
        <f ca="1">IF(F389=Aftensmad,Tilmeldingsoversigt!$C$17," ")</f>
        <v>27.540983606557376</v>
      </c>
      <c r="H389" s="68" t="str">
        <f>IF(Tilmeldingsoversigt!$F$9="x",Aftensmad," ")</f>
        <v>Aftensmad</v>
      </c>
      <c r="I389" s="69">
        <f ca="1">IF(H389=Aftensmad,Tilmeldingsoversigt!$C$17," ")</f>
        <v>27.540983606557376</v>
      </c>
      <c r="J389" s="68" t="str">
        <f>IF(Tilmeldingsoversigt!$G$9="x",Aftensmad," ")</f>
        <v>Aftensmad</v>
      </c>
      <c r="K389" s="69">
        <f ca="1">IF(J389=Aftensmad,Tilmeldingsoversigt!$C$17," ")</f>
        <v>27.540983606557376</v>
      </c>
      <c r="L389" s="68" t="str">
        <f>IF(Tilmeldingsoversigt!$H$9="x",Aftensmad," ")</f>
        <v>Aftensmad</v>
      </c>
      <c r="M389" s="69">
        <f ca="1">IF(L389=Aftensmad,Tilmeldingsoversigt!$C$17," ")</f>
        <v>27.540983606557376</v>
      </c>
      <c r="N389" s="68" t="str">
        <f>IF(Tilmeldingsoversigt!$I$9="x",Aftensmad," ")</f>
        <v>Aftensmad</v>
      </c>
      <c r="O389" s="70">
        <f ca="1">IF(N389=Aftensmad,Tilmeldingsoversigt!$C$17," ")</f>
        <v>27.540983606557376</v>
      </c>
      <c r="P389" s="66"/>
    </row>
    <row r="390" spans="2:16" x14ac:dyDescent="0.25">
      <c r="B390" s="68" t="str">
        <f>IF(Tilmeldingsoversigt!$C$10="x",biret," ")</f>
        <v>Biret</v>
      </c>
      <c r="C390" s="69">
        <f>IF(B390=biret,biretpris," ")</f>
        <v>0</v>
      </c>
      <c r="D390" s="68" t="str">
        <f>IF(Tilmeldingsoversigt!$D$10="x",biret," ")</f>
        <v>Biret</v>
      </c>
      <c r="E390" s="69">
        <f>IF(D390=biret,biretpris," ")</f>
        <v>0</v>
      </c>
      <c r="F390" s="68" t="str">
        <f>IF(Tilmeldingsoversigt!$E$10="x",biret," ")</f>
        <v>Biret</v>
      </c>
      <c r="G390" s="69">
        <f>IF(F390=biret,biretpris," ")</f>
        <v>0</v>
      </c>
      <c r="H390" s="68" t="str">
        <f>IF(Tilmeldingsoversigt!$F$10="x",biret," ")</f>
        <v>Biret</v>
      </c>
      <c r="I390" s="69">
        <f>IF(H390=biret,biretpris," ")</f>
        <v>0</v>
      </c>
      <c r="J390" s="68" t="str">
        <f>IF(Tilmeldingsoversigt!$G$10="x",biret," ")</f>
        <v>Biret</v>
      </c>
      <c r="K390" s="70">
        <f>IF(J390=biret,biretpris," ")</f>
        <v>0</v>
      </c>
      <c r="L390" s="68" t="str">
        <f>IF(Tilmeldingsoversigt!$H$10="x",biret," ")</f>
        <v>Biret</v>
      </c>
      <c r="M390" s="69">
        <f>IF(L390=biret,biretpris," ")</f>
        <v>0</v>
      </c>
      <c r="N390" s="68" t="str">
        <f>IF(Tilmeldingsoversigt!$I$10="x",biret," ")</f>
        <v>Biret</v>
      </c>
      <c r="O390" s="70">
        <f>IF(N390=biret,biretpris," ")</f>
        <v>0</v>
      </c>
      <c r="P390" s="66"/>
    </row>
    <row r="391" spans="2:16" x14ac:dyDescent="0.25">
      <c r="B391" s="71" t="str">
        <f>IF(Tilmeldingsoversigt!$C$11="x",mellemmåltid," ")</f>
        <v xml:space="preserve"> </v>
      </c>
      <c r="C391" s="69" t="str">
        <f>IF(B391=mellemmåltid,mellemmåltidspris," ")</f>
        <v xml:space="preserve"> </v>
      </c>
      <c r="D391" s="71" t="str">
        <f>IF(Tilmeldingsoversigt!$C$11="x",mellemmåltid," ")</f>
        <v xml:space="preserve"> </v>
      </c>
      <c r="E391" s="72" t="str">
        <f>IF(D391=mellemmåltid,mellemmåltidspris," ")</f>
        <v xml:space="preserve"> </v>
      </c>
      <c r="F391" s="71" t="str">
        <f>IF(Tilmeldingsoversigt!$C$11="x",mellemmåltid," ")</f>
        <v xml:space="preserve"> </v>
      </c>
      <c r="G391" s="72" t="str">
        <f>IF(F391=mellemmåltid,mellemmåltidspris," ")</f>
        <v xml:space="preserve"> </v>
      </c>
      <c r="H391" s="71" t="str">
        <f>IF(Tilmeldingsoversigt!$C$11="x",mellemmåltid," ")</f>
        <v xml:space="preserve"> </v>
      </c>
      <c r="I391" s="72" t="str">
        <f>IF(H391=mellemmåltid,mellemmåltidspris," ")</f>
        <v xml:space="preserve"> </v>
      </c>
      <c r="J391" s="71" t="str">
        <f>IF(Tilmeldingsoversigt!$C$11="x",mellemmåltid," ")</f>
        <v xml:space="preserve"> </v>
      </c>
      <c r="K391" s="73" t="str">
        <f>IF(J391=mellemmåltid,mellemmåltidspris," ")</f>
        <v xml:space="preserve"> </v>
      </c>
      <c r="L391" s="71" t="str">
        <f>IF(Tilmeldingsoversigt!$C$11="x",mellemmåltid," ")</f>
        <v xml:space="preserve"> </v>
      </c>
      <c r="M391" s="72" t="str">
        <f>IF(L391=mellemmåltid,mellemmåltidspris," ")</f>
        <v xml:space="preserve"> </v>
      </c>
      <c r="N391" s="71" t="str">
        <f>IF(Tilmeldingsoversigt!$C$11="x",mellemmåltid," ")</f>
        <v xml:space="preserve"> </v>
      </c>
      <c r="O391" s="73" t="str">
        <f>IF(N391=mellemmåltid,mellemmåltidspris," ")</f>
        <v xml:space="preserve"> </v>
      </c>
      <c r="P391" s="66"/>
    </row>
    <row r="392" spans="2:16" x14ac:dyDescent="0.25">
      <c r="B392" s="84" t="s">
        <v>44</v>
      </c>
      <c r="C392" s="11">
        <f ca="1">SUM(C387:C391)</f>
        <v>99.311475409836063</v>
      </c>
      <c r="D392" s="74"/>
      <c r="E392" s="11">
        <f ca="1">SUM(E387:E391)</f>
        <v>99.311475409836063</v>
      </c>
      <c r="F392" s="74"/>
      <c r="G392" s="11">
        <f ca="1">SUM(G387:G391)</f>
        <v>99.311475409836063</v>
      </c>
      <c r="H392" s="74"/>
      <c r="I392" s="11">
        <f ca="1">SUM(I387:I391)</f>
        <v>99.311475409836063</v>
      </c>
      <c r="J392" s="74"/>
      <c r="K392" s="11">
        <f ca="1">SUM(K387:K391)</f>
        <v>99.311475409836063</v>
      </c>
      <c r="L392" s="74"/>
      <c r="M392" s="11">
        <f ca="1">SUM(M387:M391)</f>
        <v>99.311475409836063</v>
      </c>
      <c r="N392" s="74"/>
      <c r="O392" s="12">
        <f ca="1">SUM(O387:O391)</f>
        <v>99.311475409836063</v>
      </c>
      <c r="P392" s="75">
        <f ca="1">SUM(C392,E392,G392,I392,K392,M392,O392)</f>
        <v>695.18032786885237</v>
      </c>
    </row>
    <row r="393" spans="2:16" x14ac:dyDescent="0.2">
      <c r="B393" s="76"/>
      <c r="C393" s="77"/>
      <c r="D393" s="77"/>
      <c r="E393" s="77"/>
      <c r="F393" s="77"/>
      <c r="G393" s="77"/>
      <c r="H393" s="77"/>
      <c r="I393" s="77"/>
      <c r="J393" s="77"/>
      <c r="K393" s="77"/>
      <c r="L393" s="77"/>
      <c r="M393" s="77"/>
      <c r="N393" s="77"/>
      <c r="O393" s="77"/>
      <c r="P393" s="76"/>
    </row>
    <row r="394" spans="2:16" ht="12.75" x14ac:dyDescent="0.25">
      <c r="B394" s="78">
        <f>N385+1</f>
        <v>22</v>
      </c>
      <c r="C394" s="79"/>
      <c r="D394" s="78">
        <f>B394+1</f>
        <v>23</v>
      </c>
      <c r="E394" s="79"/>
      <c r="F394" s="78">
        <f>D394+1</f>
        <v>24</v>
      </c>
      <c r="G394" s="79"/>
      <c r="H394" s="78">
        <f>F394+1</f>
        <v>25</v>
      </c>
      <c r="I394" s="79"/>
      <c r="J394" s="78">
        <f>H394+1</f>
        <v>26</v>
      </c>
      <c r="K394" s="79"/>
      <c r="L394" s="78">
        <f>J394+1</f>
        <v>27</v>
      </c>
      <c r="M394" s="79"/>
      <c r="N394" s="78">
        <f>L394+1</f>
        <v>28</v>
      </c>
      <c r="O394" s="79"/>
      <c r="P394" s="80"/>
    </row>
    <row r="395" spans="2:16" x14ac:dyDescent="0.25">
      <c r="B395" s="64" t="s">
        <v>42</v>
      </c>
      <c r="C395" s="81" t="s">
        <v>43</v>
      </c>
      <c r="D395" s="64" t="s">
        <v>42</v>
      </c>
      <c r="E395" s="81" t="s">
        <v>43</v>
      </c>
      <c r="F395" s="64" t="s">
        <v>42</v>
      </c>
      <c r="G395" s="81" t="s">
        <v>43</v>
      </c>
      <c r="H395" s="64" t="s">
        <v>42</v>
      </c>
      <c r="I395" s="81" t="s">
        <v>43</v>
      </c>
      <c r="J395" s="64" t="s">
        <v>42</v>
      </c>
      <c r="K395" s="81" t="s">
        <v>43</v>
      </c>
      <c r="L395" s="64" t="s">
        <v>42</v>
      </c>
      <c r="M395" s="81" t="s">
        <v>43</v>
      </c>
      <c r="N395" s="64" t="s">
        <v>42</v>
      </c>
      <c r="O395" s="82" t="s">
        <v>43</v>
      </c>
      <c r="P395" s="66"/>
    </row>
    <row r="396" spans="2:16" x14ac:dyDescent="0.25">
      <c r="B396" s="136" t="str">
        <f>IF(Tilmeldingsoversigt!$C$7="x",Morgenmad," ")</f>
        <v>Morgenmad</v>
      </c>
      <c r="C396" s="67">
        <f ca="1">IF(B396=Morgenmad,Tilmeldingsoversigt!$C$15," ")</f>
        <v>16.754098360655739</v>
      </c>
      <c r="D396" s="136" t="str">
        <f>IF(Tilmeldingsoversigt!$D$7="x",Morgenmad," ")</f>
        <v>Morgenmad</v>
      </c>
      <c r="E396" s="67">
        <f ca="1">IF(D396=Morgenmad,Tilmeldingsoversigt!$C$15," ")</f>
        <v>16.754098360655739</v>
      </c>
      <c r="F396" s="136" t="str">
        <f>IF(Tilmeldingsoversigt!$E$7="x",Morgenmad," ")</f>
        <v>Morgenmad</v>
      </c>
      <c r="G396" s="67">
        <f ca="1">IF(F396=Morgenmad,Tilmeldingsoversigt!$C$15," ")</f>
        <v>16.754098360655739</v>
      </c>
      <c r="H396" s="136" t="str">
        <f>IF(Tilmeldingsoversigt!$F$7="x",Morgenmad," ")</f>
        <v>Morgenmad</v>
      </c>
      <c r="I396" s="67">
        <f ca="1">IF(H396=Morgenmad,Tilmeldingsoversigt!$C$15," ")</f>
        <v>16.754098360655739</v>
      </c>
      <c r="J396" s="136" t="str">
        <f>IF(Tilmeldingsoversigt!$G$7="x",Morgenmad," ")</f>
        <v>Morgenmad</v>
      </c>
      <c r="K396" s="67">
        <f ca="1">IF(J396=Morgenmad,Tilmeldingsoversigt!$C$15," ")</f>
        <v>16.754098360655739</v>
      </c>
      <c r="L396" s="136" t="str">
        <f>IF(Tilmeldingsoversigt!$H$7="x",Morgenmad," ")</f>
        <v>Morgenmad</v>
      </c>
      <c r="M396" s="67">
        <f ca="1">IF(L396=Morgenmad,Tilmeldingsoversigt!$C$15," ")</f>
        <v>16.754098360655739</v>
      </c>
      <c r="N396" s="136" t="str">
        <f>IF(Tilmeldingsoversigt!$I$7="x",Morgenmad," ")</f>
        <v>Morgenmad</v>
      </c>
      <c r="O396" s="83">
        <f ca="1">IF(N396=Morgenmad,Tilmeldingsoversigt!$C$15," ")</f>
        <v>16.754098360655739</v>
      </c>
      <c r="P396" s="66"/>
    </row>
    <row r="397" spans="2:16" x14ac:dyDescent="0.25">
      <c r="B397" s="68" t="str">
        <f>IF(Tilmeldingsoversigt!$C$8="x",hovedret," ")</f>
        <v>Hovedret</v>
      </c>
      <c r="C397" s="69">
        <f ca="1">IF(B397=hovedret,Tilmeldingsoversigt!$C$16," ")</f>
        <v>55.016393442622949</v>
      </c>
      <c r="D397" s="68" t="str">
        <f>IF(Tilmeldingsoversigt!$D$8="x",hovedret," ")</f>
        <v>Hovedret</v>
      </c>
      <c r="E397" s="69">
        <f ca="1">IF(D397=hovedret,Tilmeldingsoversigt!$C$16," ")</f>
        <v>55.016393442622949</v>
      </c>
      <c r="F397" s="68" t="str">
        <f>IF(Tilmeldingsoversigt!$E$8="x",hovedret," ")</f>
        <v>Hovedret</v>
      </c>
      <c r="G397" s="69">
        <f ca="1">IF(F397=hovedret,Tilmeldingsoversigt!$C$16," ")</f>
        <v>55.016393442622949</v>
      </c>
      <c r="H397" s="68" t="str">
        <f>IF(Tilmeldingsoversigt!$F$8="x",hovedret," ")</f>
        <v>Hovedret</v>
      </c>
      <c r="I397" s="69">
        <f ca="1">IF(H397=hovedret,Tilmeldingsoversigt!$C$16," ")</f>
        <v>55.016393442622949</v>
      </c>
      <c r="J397" s="68" t="str">
        <f>IF(Tilmeldingsoversigt!$G$8="x",hovedret," ")</f>
        <v>Hovedret</v>
      </c>
      <c r="K397" s="69">
        <f ca="1">IF(J397=hovedret,Tilmeldingsoversigt!$C$16," ")</f>
        <v>55.016393442622949</v>
      </c>
      <c r="L397" s="68" t="str">
        <f>IF(Tilmeldingsoversigt!$H$8="x",hovedret," ")</f>
        <v>Hovedret</v>
      </c>
      <c r="M397" s="69">
        <f ca="1">IF(L397=hovedret,Tilmeldingsoversigt!$C$16," ")</f>
        <v>55.016393442622949</v>
      </c>
      <c r="N397" s="68" t="str">
        <f>IF(Tilmeldingsoversigt!$I$8="x",hovedret," ")</f>
        <v>Hovedret</v>
      </c>
      <c r="O397" s="70">
        <f ca="1">IF(N397=hovedret,Tilmeldingsoversigt!$C$16," ")</f>
        <v>55.016393442622949</v>
      </c>
      <c r="P397" s="66"/>
    </row>
    <row r="398" spans="2:16" x14ac:dyDescent="0.25">
      <c r="B398" s="68" t="str">
        <f>IF(Tilmeldingsoversigt!$C$9="x",Aftensmad," ")</f>
        <v>Aftensmad</v>
      </c>
      <c r="C398" s="69">
        <f ca="1">IF(B398=Aftensmad,Tilmeldingsoversigt!$C$17," ")</f>
        <v>27.540983606557376</v>
      </c>
      <c r="D398" s="68" t="str">
        <f>IF(Tilmeldingsoversigt!$D$9="x",Aftensmad," ")</f>
        <v>Aftensmad</v>
      </c>
      <c r="E398" s="69">
        <f ca="1">IF(D398=Aftensmad,Tilmeldingsoversigt!$C$17," ")</f>
        <v>27.540983606557376</v>
      </c>
      <c r="F398" s="68" t="str">
        <f>IF(Tilmeldingsoversigt!$E$9="x",Aftensmad," ")</f>
        <v>Aftensmad</v>
      </c>
      <c r="G398" s="69">
        <f ca="1">IF(F398=Aftensmad,Tilmeldingsoversigt!$C$17," ")</f>
        <v>27.540983606557376</v>
      </c>
      <c r="H398" s="68" t="str">
        <f>IF(Tilmeldingsoversigt!$F$9="x",Aftensmad," ")</f>
        <v>Aftensmad</v>
      </c>
      <c r="I398" s="69">
        <f ca="1">IF(H398=Aftensmad,Tilmeldingsoversigt!$C$17," ")</f>
        <v>27.540983606557376</v>
      </c>
      <c r="J398" s="68" t="str">
        <f>IF(Tilmeldingsoversigt!$G$9="x",Aftensmad," ")</f>
        <v>Aftensmad</v>
      </c>
      <c r="K398" s="69">
        <f ca="1">IF(J398=Aftensmad,Tilmeldingsoversigt!$C$17," ")</f>
        <v>27.540983606557376</v>
      </c>
      <c r="L398" s="68" t="str">
        <f>IF(Tilmeldingsoversigt!$H$9="x",Aftensmad," ")</f>
        <v>Aftensmad</v>
      </c>
      <c r="M398" s="69">
        <f ca="1">IF(L398=Aftensmad,Tilmeldingsoversigt!$C$17," ")</f>
        <v>27.540983606557376</v>
      </c>
      <c r="N398" s="68" t="str">
        <f>IF(Tilmeldingsoversigt!$I$9="x",Aftensmad," ")</f>
        <v>Aftensmad</v>
      </c>
      <c r="O398" s="70">
        <f ca="1">IF(N398=Aftensmad,Tilmeldingsoversigt!$C$17," ")</f>
        <v>27.540983606557376</v>
      </c>
      <c r="P398" s="66"/>
    </row>
    <row r="399" spans="2:16" x14ac:dyDescent="0.25">
      <c r="B399" s="68" t="str">
        <f>IF(Tilmeldingsoversigt!$C$10="x",biret," ")</f>
        <v>Biret</v>
      </c>
      <c r="C399" s="69">
        <f>IF(B399=biret,biretpris," ")</f>
        <v>0</v>
      </c>
      <c r="D399" s="68" t="str">
        <f>IF(Tilmeldingsoversigt!$D$10="x",biret," ")</f>
        <v>Biret</v>
      </c>
      <c r="E399" s="69">
        <f>IF(D399=biret,biretpris," ")</f>
        <v>0</v>
      </c>
      <c r="F399" s="68" t="str">
        <f>IF(Tilmeldingsoversigt!$E$10="x",biret," ")</f>
        <v>Biret</v>
      </c>
      <c r="G399" s="69">
        <f>IF(F399=biret,biretpris," ")</f>
        <v>0</v>
      </c>
      <c r="H399" s="68" t="str">
        <f>IF(Tilmeldingsoversigt!$F$10="x",biret," ")</f>
        <v>Biret</v>
      </c>
      <c r="I399" s="69">
        <f>IF(H399=biret,biretpris," ")</f>
        <v>0</v>
      </c>
      <c r="J399" s="68" t="str">
        <f>IF(Tilmeldingsoversigt!$G$10="x",biret," ")</f>
        <v>Biret</v>
      </c>
      <c r="K399" s="70">
        <f>IF(J399=biret,biretpris," ")</f>
        <v>0</v>
      </c>
      <c r="L399" s="68" t="str">
        <f>IF(Tilmeldingsoversigt!$H$10="x",biret," ")</f>
        <v>Biret</v>
      </c>
      <c r="M399" s="69">
        <f>IF(L399=biret,biretpris," ")</f>
        <v>0</v>
      </c>
      <c r="N399" s="68" t="str">
        <f>IF(Tilmeldingsoversigt!$I$10="x",biret," ")</f>
        <v>Biret</v>
      </c>
      <c r="O399" s="70">
        <f>IF(N399=biret,biretpris," ")</f>
        <v>0</v>
      </c>
      <c r="P399" s="66"/>
    </row>
    <row r="400" spans="2:16" x14ac:dyDescent="0.25">
      <c r="B400" s="71" t="str">
        <f>IF(Tilmeldingsoversigt!$C$11="x",mellemmåltid," ")</f>
        <v xml:space="preserve"> </v>
      </c>
      <c r="C400" s="69" t="str">
        <f>IF(B400=mellemmåltid,mellemmåltidspris," ")</f>
        <v xml:space="preserve"> </v>
      </c>
      <c r="D400" s="71" t="str">
        <f>IF(Tilmeldingsoversigt!$C$11="x",mellemmåltid," ")</f>
        <v xml:space="preserve"> </v>
      </c>
      <c r="E400" s="72" t="str">
        <f>IF(D400=mellemmåltid,mellemmåltidspris," ")</f>
        <v xml:space="preserve"> </v>
      </c>
      <c r="F400" s="71" t="str">
        <f>IF(Tilmeldingsoversigt!$C$11="x",mellemmåltid," ")</f>
        <v xml:space="preserve"> </v>
      </c>
      <c r="G400" s="72" t="str">
        <f>IF(F400=mellemmåltid,mellemmåltidspris," ")</f>
        <v xml:space="preserve"> </v>
      </c>
      <c r="H400" s="71" t="str">
        <f>IF(Tilmeldingsoversigt!$C$11="x",mellemmåltid," ")</f>
        <v xml:space="preserve"> </v>
      </c>
      <c r="I400" s="72" t="str">
        <f>IF(H400=mellemmåltid,mellemmåltidspris," ")</f>
        <v xml:space="preserve"> </v>
      </c>
      <c r="J400" s="71" t="str">
        <f>IF(Tilmeldingsoversigt!$C$11="x",mellemmåltid," ")</f>
        <v xml:space="preserve"> </v>
      </c>
      <c r="K400" s="73" t="str">
        <f>IF(J400=mellemmåltid,mellemmåltidspris," ")</f>
        <v xml:space="preserve"> </v>
      </c>
      <c r="L400" s="71" t="str">
        <f>IF(Tilmeldingsoversigt!$C$11="x",mellemmåltid," ")</f>
        <v xml:space="preserve"> </v>
      </c>
      <c r="M400" s="72" t="str">
        <f>IF(L400=mellemmåltid,mellemmåltidspris," ")</f>
        <v xml:space="preserve"> </v>
      </c>
      <c r="N400" s="71" t="str">
        <f>IF(Tilmeldingsoversigt!$C$11="x",mellemmåltid," ")</f>
        <v xml:space="preserve"> </v>
      </c>
      <c r="O400" s="73" t="str">
        <f>IF(N400=mellemmåltid,mellemmåltidspris," ")</f>
        <v xml:space="preserve"> </v>
      </c>
      <c r="P400" s="66"/>
    </row>
    <row r="401" spans="2:16" x14ac:dyDescent="0.25">
      <c r="B401" s="74" t="s">
        <v>44</v>
      </c>
      <c r="C401" s="11">
        <f ca="1">SUM(C396:C400)</f>
        <v>99.311475409836063</v>
      </c>
      <c r="D401" s="74"/>
      <c r="E401" s="11">
        <f ca="1">SUM(E396:E400)</f>
        <v>99.311475409836063</v>
      </c>
      <c r="F401" s="74"/>
      <c r="G401" s="11">
        <f ca="1">SUM(G396:G400)</f>
        <v>99.311475409836063</v>
      </c>
      <c r="H401" s="74"/>
      <c r="I401" s="11">
        <f ca="1">SUM(I396:I400)</f>
        <v>99.311475409836063</v>
      </c>
      <c r="J401" s="74"/>
      <c r="K401" s="11">
        <f ca="1">SUM(K396:K400)</f>
        <v>99.311475409836063</v>
      </c>
      <c r="L401" s="74"/>
      <c r="M401" s="11">
        <f ca="1">SUM(M396:M400)</f>
        <v>99.311475409836063</v>
      </c>
      <c r="N401" s="74"/>
      <c r="O401" s="12">
        <f ca="1">SUM(O396:O400)</f>
        <v>99.311475409836063</v>
      </c>
      <c r="P401" s="75">
        <f ca="1">SUM(C401,E401,G401,I401,K401,M401,O401)</f>
        <v>695.18032786885237</v>
      </c>
    </row>
    <row r="402" spans="2:16" x14ac:dyDescent="0.2">
      <c r="B402" s="76"/>
      <c r="C402" s="77"/>
      <c r="D402" s="77"/>
      <c r="E402" s="77"/>
      <c r="F402" s="77"/>
      <c r="G402" s="77"/>
      <c r="H402" s="77"/>
      <c r="I402" s="77"/>
      <c r="J402" s="77"/>
      <c r="K402" s="77"/>
      <c r="L402" s="77"/>
      <c r="M402" s="77"/>
      <c r="N402" s="77"/>
      <c r="O402" s="77"/>
      <c r="P402" s="76"/>
    </row>
    <row r="403" spans="2:16" ht="12.75" x14ac:dyDescent="0.25">
      <c r="B403" s="78">
        <f>DAY(IF(DAY(JulSøn1)=1,JulSøn1+22,JulSøn1+29))</f>
        <v>29</v>
      </c>
      <c r="C403" s="79"/>
      <c r="D403" s="78">
        <f>DAY(IF(DAY(JulSøn1)=1,JulSøn1+23,JulSøn1+30))</f>
        <v>30</v>
      </c>
      <c r="E403" s="79"/>
      <c r="F403" s="78">
        <f>DAY(IF(DAY(JulSøn1)=1,JulSøn1+24,JulSøn1+31))</f>
        <v>31</v>
      </c>
      <c r="G403" s="79"/>
      <c r="H403" s="78">
        <f>DAY(IF(DAY(JulSøn1)=1,JulSøn1+25,JulSøn1+32))</f>
        <v>1</v>
      </c>
      <c r="I403" s="79"/>
      <c r="J403" s="78">
        <f>DAY(IF(DAY(JulSøn1)=1,JulSøn1+26,JulSøn1+33))</f>
        <v>2</v>
      </c>
      <c r="K403" s="79"/>
      <c r="L403" s="78">
        <f>DAY(IF(DAY(JulSøn1)=1,JulSøn1+27,JulSøn1+34))</f>
        <v>3</v>
      </c>
      <c r="M403" s="79"/>
      <c r="N403" s="78">
        <f>DAY(IF(DAY(JulSøn1)=1,JulSøn1+28,JulSøn1+35))</f>
        <v>4</v>
      </c>
      <c r="O403" s="79"/>
      <c r="P403" s="85"/>
    </row>
    <row r="404" spans="2:16" x14ac:dyDescent="0.25">
      <c r="B404" s="64" t="s">
        <v>42</v>
      </c>
      <c r="C404" s="81" t="s">
        <v>43</v>
      </c>
      <c r="D404" s="64" t="s">
        <v>42</v>
      </c>
      <c r="E404" s="81" t="s">
        <v>43</v>
      </c>
      <c r="F404" s="64" t="s">
        <v>42</v>
      </c>
      <c r="G404" s="81" t="s">
        <v>43</v>
      </c>
      <c r="H404" s="64" t="s">
        <v>42</v>
      </c>
      <c r="I404" s="81" t="s">
        <v>43</v>
      </c>
      <c r="J404" s="64" t="s">
        <v>42</v>
      </c>
      <c r="K404" s="81" t="s">
        <v>43</v>
      </c>
      <c r="L404" s="64" t="s">
        <v>42</v>
      </c>
      <c r="M404" s="81" t="s">
        <v>43</v>
      </c>
      <c r="N404" s="64" t="s">
        <v>42</v>
      </c>
      <c r="O404" s="82" t="s">
        <v>43</v>
      </c>
      <c r="P404" s="66"/>
    </row>
    <row r="405" spans="2:16" x14ac:dyDescent="0.25">
      <c r="B405" s="136" t="str">
        <f>IF(Tilmeldingsoversigt!$C$7="x",Morgenmad," ")</f>
        <v>Morgenmad</v>
      </c>
      <c r="C405" s="67">
        <f ca="1">IF(B405=Morgenmad,Tilmeldingsoversigt!$C$15," ")</f>
        <v>16.754098360655739</v>
      </c>
      <c r="D405" s="136" t="str">
        <f>IF(Tilmeldingsoversigt!$D$7="x",Morgenmad," ")</f>
        <v>Morgenmad</v>
      </c>
      <c r="E405" s="67">
        <f ca="1">IF(D405=Morgenmad,Tilmeldingsoversigt!$C$15," ")</f>
        <v>16.754098360655739</v>
      </c>
      <c r="F405" s="136" t="str">
        <f>IF(Tilmeldingsoversigt!$E$7="x",Morgenmad," ")</f>
        <v>Morgenmad</v>
      </c>
      <c r="G405" s="67">
        <f ca="1">IF(F405=Morgenmad,Tilmeldingsoversigt!$C$15," ")</f>
        <v>16.754098360655739</v>
      </c>
      <c r="H405" s="136" t="str">
        <f>IF(Tilmeldingsoversigt!$F$7="x",Morgenmad," ")</f>
        <v>Morgenmad</v>
      </c>
      <c r="I405" s="67">
        <f ca="1">IF(H405=Morgenmad,Tilmeldingsoversigt!$C$15," ")</f>
        <v>16.754098360655739</v>
      </c>
      <c r="J405" s="136" t="str">
        <f>IF(Tilmeldingsoversigt!$G$7="x",Morgenmad," ")</f>
        <v>Morgenmad</v>
      </c>
      <c r="K405" s="67">
        <f ca="1">IF(J405=Morgenmad,Tilmeldingsoversigt!$C$15," ")</f>
        <v>16.754098360655739</v>
      </c>
      <c r="L405" s="136" t="str">
        <f>IF(Tilmeldingsoversigt!$H$7="x",Morgenmad," ")</f>
        <v>Morgenmad</v>
      </c>
      <c r="M405" s="67">
        <f ca="1">IF(L405=Morgenmad,Tilmeldingsoversigt!$C$15," ")</f>
        <v>16.754098360655739</v>
      </c>
      <c r="N405" s="136" t="str">
        <f>IF(Tilmeldingsoversigt!$I$7="x",Morgenmad," ")</f>
        <v>Morgenmad</v>
      </c>
      <c r="O405" s="83">
        <f ca="1">IF(N405=Morgenmad,Tilmeldingsoversigt!$C$15," ")</f>
        <v>16.754098360655739</v>
      </c>
      <c r="P405" s="66"/>
    </row>
    <row r="406" spans="2:16" x14ac:dyDescent="0.25">
      <c r="B406" s="68" t="str">
        <f>IF(Tilmeldingsoversigt!$C$8="x",hovedret," ")</f>
        <v>Hovedret</v>
      </c>
      <c r="C406" s="69">
        <f ca="1">IF(B406=hovedret,Tilmeldingsoversigt!$C$16," ")</f>
        <v>55.016393442622949</v>
      </c>
      <c r="D406" s="68" t="str">
        <f>IF(Tilmeldingsoversigt!$D$8="x",hovedret," ")</f>
        <v>Hovedret</v>
      </c>
      <c r="E406" s="69">
        <f ca="1">IF(D406=hovedret,Tilmeldingsoversigt!$C$16," ")</f>
        <v>55.016393442622949</v>
      </c>
      <c r="F406" s="68" t="str">
        <f>IF(Tilmeldingsoversigt!$E$8="x",hovedret," ")</f>
        <v>Hovedret</v>
      </c>
      <c r="G406" s="69">
        <f ca="1">IF(F406=hovedret,Tilmeldingsoversigt!$C$16," ")</f>
        <v>55.016393442622949</v>
      </c>
      <c r="H406" s="68" t="str">
        <f>IF(Tilmeldingsoversigt!$F$8="x",hovedret," ")</f>
        <v>Hovedret</v>
      </c>
      <c r="I406" s="69">
        <f ca="1">IF(H406=hovedret,Tilmeldingsoversigt!$C$16," ")</f>
        <v>55.016393442622949</v>
      </c>
      <c r="J406" s="68" t="str">
        <f>IF(Tilmeldingsoversigt!$G$8="x",hovedret," ")</f>
        <v>Hovedret</v>
      </c>
      <c r="K406" s="69">
        <f ca="1">IF(J406=hovedret,Tilmeldingsoversigt!$C$16," ")</f>
        <v>55.016393442622949</v>
      </c>
      <c r="L406" s="68" t="str">
        <f>IF(Tilmeldingsoversigt!$H$8="x",hovedret," ")</f>
        <v>Hovedret</v>
      </c>
      <c r="M406" s="69">
        <f ca="1">IF(L406=hovedret,Tilmeldingsoversigt!$C$16," ")</f>
        <v>55.016393442622949</v>
      </c>
      <c r="N406" s="68" t="str">
        <f>IF(Tilmeldingsoversigt!$I$8="x",hovedret," ")</f>
        <v>Hovedret</v>
      </c>
      <c r="O406" s="70">
        <f ca="1">IF(N406=hovedret,Tilmeldingsoversigt!$C$16," ")</f>
        <v>55.016393442622949</v>
      </c>
      <c r="P406" s="66"/>
    </row>
    <row r="407" spans="2:16" x14ac:dyDescent="0.25">
      <c r="B407" s="68" t="str">
        <f>IF(Tilmeldingsoversigt!$C$9="x",Aftensmad," ")</f>
        <v>Aftensmad</v>
      </c>
      <c r="C407" s="69">
        <f ca="1">IF(B407=Aftensmad,Tilmeldingsoversigt!$C$17," ")</f>
        <v>27.540983606557376</v>
      </c>
      <c r="D407" s="68" t="str">
        <f>IF(Tilmeldingsoversigt!$D$9="x",Aftensmad," ")</f>
        <v>Aftensmad</v>
      </c>
      <c r="E407" s="69">
        <f ca="1">IF(D407=Aftensmad,Tilmeldingsoversigt!$C$17," ")</f>
        <v>27.540983606557376</v>
      </c>
      <c r="F407" s="68" t="str">
        <f>IF(Tilmeldingsoversigt!$E$9="x",Aftensmad," ")</f>
        <v>Aftensmad</v>
      </c>
      <c r="G407" s="69">
        <f ca="1">IF(F407=Aftensmad,Tilmeldingsoversigt!$C$17," ")</f>
        <v>27.540983606557376</v>
      </c>
      <c r="H407" s="68" t="str">
        <f>IF(Tilmeldingsoversigt!$F$9="x",Aftensmad," ")</f>
        <v>Aftensmad</v>
      </c>
      <c r="I407" s="69">
        <f ca="1">IF(H407=Aftensmad,Tilmeldingsoversigt!$C$17," ")</f>
        <v>27.540983606557376</v>
      </c>
      <c r="J407" s="68" t="str">
        <f>IF(Tilmeldingsoversigt!$G$9="x",Aftensmad," ")</f>
        <v>Aftensmad</v>
      </c>
      <c r="K407" s="69">
        <f ca="1">IF(J407=Aftensmad,Tilmeldingsoversigt!$C$17," ")</f>
        <v>27.540983606557376</v>
      </c>
      <c r="L407" s="68" t="str">
        <f>IF(Tilmeldingsoversigt!$H$9="x",Aftensmad," ")</f>
        <v>Aftensmad</v>
      </c>
      <c r="M407" s="69">
        <f ca="1">IF(L407=Aftensmad,Tilmeldingsoversigt!$C$17," ")</f>
        <v>27.540983606557376</v>
      </c>
      <c r="N407" s="68" t="str">
        <f>IF(Tilmeldingsoversigt!$I$9="x",Aftensmad," ")</f>
        <v>Aftensmad</v>
      </c>
      <c r="O407" s="70">
        <f ca="1">IF(N407=Aftensmad,Tilmeldingsoversigt!$C$17," ")</f>
        <v>27.540983606557376</v>
      </c>
      <c r="P407" s="66"/>
    </row>
    <row r="408" spans="2:16" x14ac:dyDescent="0.25">
      <c r="B408" s="68" t="str">
        <f>IF(Tilmeldingsoversigt!$C$10="x",biret," ")</f>
        <v>Biret</v>
      </c>
      <c r="C408" s="69">
        <f>IF(B408=biret,biretpris," ")</f>
        <v>0</v>
      </c>
      <c r="D408" s="68" t="str">
        <f>IF(Tilmeldingsoversigt!$D$10="x",biret," ")</f>
        <v>Biret</v>
      </c>
      <c r="E408" s="69">
        <f>IF(D408=biret,biretpris," ")</f>
        <v>0</v>
      </c>
      <c r="F408" s="68" t="str">
        <f>IF(Tilmeldingsoversigt!$E$10="x",biret," ")</f>
        <v>Biret</v>
      </c>
      <c r="G408" s="69">
        <f>IF(F408=biret,biretpris," ")</f>
        <v>0</v>
      </c>
      <c r="H408" s="68" t="str">
        <f>IF(Tilmeldingsoversigt!$F$10="x",biret," ")</f>
        <v>Biret</v>
      </c>
      <c r="I408" s="69">
        <f>IF(H408=biret,biretpris," ")</f>
        <v>0</v>
      </c>
      <c r="J408" s="68" t="str">
        <f>IF(Tilmeldingsoversigt!$G$10="x",biret," ")</f>
        <v>Biret</v>
      </c>
      <c r="K408" s="70">
        <f>IF(J408=biret,biretpris," ")</f>
        <v>0</v>
      </c>
      <c r="L408" s="68" t="str">
        <f>IF(Tilmeldingsoversigt!$H$10="x",biret," ")</f>
        <v>Biret</v>
      </c>
      <c r="M408" s="69">
        <f>IF(L408=biret,biretpris," ")</f>
        <v>0</v>
      </c>
      <c r="N408" s="68" t="str">
        <f>IF(Tilmeldingsoversigt!$I$10="x",biret," ")</f>
        <v>Biret</v>
      </c>
      <c r="O408" s="70">
        <f>IF(N408=biret,biretpris," ")</f>
        <v>0</v>
      </c>
      <c r="P408" s="66"/>
    </row>
    <row r="409" spans="2:16" x14ac:dyDescent="0.25">
      <c r="B409" s="71" t="str">
        <f>IF(Tilmeldingsoversigt!$C$11="x",mellemmåltid," ")</f>
        <v xml:space="preserve"> </v>
      </c>
      <c r="C409" s="69" t="str">
        <f>IF(B409=mellemmåltid,mellemmåltidspris," ")</f>
        <v xml:space="preserve"> </v>
      </c>
      <c r="D409" s="71" t="str">
        <f>IF(Tilmeldingsoversigt!$C$11="x",mellemmåltid," ")</f>
        <v xml:space="preserve"> </v>
      </c>
      <c r="E409" s="72" t="str">
        <f>IF(D409=mellemmåltid,mellemmåltidspris," ")</f>
        <v xml:space="preserve"> </v>
      </c>
      <c r="F409" s="71" t="str">
        <f>IF(Tilmeldingsoversigt!$C$11="x",mellemmåltid," ")</f>
        <v xml:space="preserve"> </v>
      </c>
      <c r="G409" s="72" t="str">
        <f>IF(F409=mellemmåltid,mellemmåltidspris," ")</f>
        <v xml:space="preserve"> </v>
      </c>
      <c r="H409" s="71" t="str">
        <f>IF(Tilmeldingsoversigt!$C$11="x",mellemmåltid," ")</f>
        <v xml:space="preserve"> </v>
      </c>
      <c r="I409" s="72" t="str">
        <f>IF(H409=mellemmåltid,mellemmåltidspris," ")</f>
        <v xml:space="preserve"> </v>
      </c>
      <c r="J409" s="71" t="str">
        <f>IF(Tilmeldingsoversigt!$C$11="x",mellemmåltid," ")</f>
        <v xml:space="preserve"> </v>
      </c>
      <c r="K409" s="73" t="str">
        <f>IF(J409=mellemmåltid,mellemmåltidspris," ")</f>
        <v xml:space="preserve"> </v>
      </c>
      <c r="L409" s="71" t="str">
        <f>IF(Tilmeldingsoversigt!$C$11="x",mellemmåltid," ")</f>
        <v xml:space="preserve"> </v>
      </c>
      <c r="M409" s="72" t="str">
        <f>IF(L409=mellemmåltid,mellemmåltidspris," ")</f>
        <v xml:space="preserve"> </v>
      </c>
      <c r="N409" s="71" t="str">
        <f>IF(Tilmeldingsoversigt!$C$11="x",mellemmåltid," ")</f>
        <v xml:space="preserve"> </v>
      </c>
      <c r="O409" s="73" t="str">
        <f>IF(N409=mellemmåltid,mellemmåltidspris," ")</f>
        <v xml:space="preserve"> </v>
      </c>
      <c r="P409" s="66"/>
    </row>
    <row r="410" spans="2:16" x14ac:dyDescent="0.25">
      <c r="B410" s="74" t="s">
        <v>44</v>
      </c>
      <c r="C410" s="11">
        <f ca="1">SUM(C405:C409)</f>
        <v>99.311475409836063</v>
      </c>
      <c r="D410" s="74"/>
      <c r="E410" s="11">
        <f ca="1">SUM(E405:E409)</f>
        <v>99.311475409836063</v>
      </c>
      <c r="F410" s="74"/>
      <c r="G410" s="11">
        <f ca="1">SUM(G405:G409)</f>
        <v>99.311475409836063</v>
      </c>
      <c r="H410" s="74"/>
      <c r="I410" s="11">
        <f ca="1">SUM(I405:I409)</f>
        <v>99.311475409836063</v>
      </c>
      <c r="J410" s="74"/>
      <c r="K410" s="11">
        <f ca="1">SUM(K405:K409)</f>
        <v>99.311475409836063</v>
      </c>
      <c r="L410" s="74"/>
      <c r="M410" s="11">
        <f ca="1">SUM(M405:M409)</f>
        <v>99.311475409836063</v>
      </c>
      <c r="N410" s="74"/>
      <c r="O410" s="12">
        <f ca="1">SUM(O405:O409)</f>
        <v>99.311475409836063</v>
      </c>
      <c r="P410" s="75">
        <f ca="1">SUMIF(B403:N403,"&gt;="&amp;15,C410:O410)</f>
        <v>297.93442622950818</v>
      </c>
    </row>
    <row r="411" spans="2:16" x14ac:dyDescent="0.2">
      <c r="B411" s="76"/>
      <c r="C411" s="77"/>
      <c r="D411" s="77"/>
      <c r="E411" s="77"/>
      <c r="F411" s="77"/>
      <c r="G411" s="77"/>
      <c r="H411" s="77"/>
      <c r="I411" s="77"/>
      <c r="J411" s="77"/>
      <c r="K411" s="77"/>
      <c r="L411" s="77"/>
      <c r="M411" s="77"/>
      <c r="N411" s="77"/>
      <c r="O411" s="77"/>
      <c r="P411" s="76"/>
    </row>
    <row r="412" spans="2:16" ht="12.75" hidden="1" x14ac:dyDescent="0.25">
      <c r="B412" s="78">
        <f>DAY(IF(DAY(JulSøn1)=1,JulSøn1+29,JulSøn1+36))</f>
        <v>5</v>
      </c>
      <c r="C412" s="91"/>
      <c r="D412" s="78">
        <f>DAY(IF(DAY(JulSøn1)=1,JulSøn1+30,JulSøn1+37))</f>
        <v>6</v>
      </c>
      <c r="E412" s="79"/>
      <c r="F412" s="92">
        <f>DAY(IF(DAY(JulSøn1)=1,JulSøn1+31,JulSøn1+38))</f>
        <v>7</v>
      </c>
      <c r="G412" s="79"/>
      <c r="H412" s="78">
        <f>DAY(IF(DAY(JulSøn1)=1,JulSøn1+32,JulSøn1+39))</f>
        <v>8</v>
      </c>
      <c r="I412" s="79"/>
      <c r="J412" s="78">
        <f>DAY(IF(DAY(JulSøn1)=1,JulSøn1+33,JulSøn1+40))</f>
        <v>9</v>
      </c>
      <c r="K412" s="79"/>
      <c r="L412" s="78">
        <f>DAY(IF(DAY(JulSøn1)=1,JulSøn1+34,JulSøn1+41))</f>
        <v>10</v>
      </c>
      <c r="M412" s="79"/>
      <c r="N412" s="78">
        <f>DAY(IF(DAY(JulSøn1)=1,JulSøn1+35,JulSøn1+42))</f>
        <v>11</v>
      </c>
      <c r="O412" s="79"/>
      <c r="P412" s="85"/>
    </row>
    <row r="413" spans="2:16" hidden="1" x14ac:dyDescent="0.25">
      <c r="B413" s="64" t="s">
        <v>42</v>
      </c>
      <c r="C413" s="81" t="s">
        <v>43</v>
      </c>
      <c r="D413" s="64" t="s">
        <v>42</v>
      </c>
      <c r="E413" s="81" t="s">
        <v>43</v>
      </c>
      <c r="F413" s="64" t="s">
        <v>42</v>
      </c>
      <c r="G413" s="81" t="s">
        <v>43</v>
      </c>
      <c r="H413" s="64" t="s">
        <v>42</v>
      </c>
      <c r="I413" s="81" t="s">
        <v>43</v>
      </c>
      <c r="J413" s="64" t="s">
        <v>42</v>
      </c>
      <c r="K413" s="81" t="s">
        <v>43</v>
      </c>
      <c r="L413" s="64" t="s">
        <v>42</v>
      </c>
      <c r="M413" s="81" t="s">
        <v>43</v>
      </c>
      <c r="N413" s="64" t="s">
        <v>42</v>
      </c>
      <c r="O413" s="82" t="s">
        <v>43</v>
      </c>
      <c r="P413" s="66"/>
    </row>
    <row r="414" spans="2:16" hidden="1" x14ac:dyDescent="0.25">
      <c r="B414" s="136"/>
      <c r="C414" s="67"/>
      <c r="D414" s="136"/>
      <c r="E414" s="67"/>
      <c r="F414" s="136"/>
      <c r="G414" s="67"/>
      <c r="H414" s="136"/>
      <c r="I414" s="67"/>
      <c r="J414" s="136"/>
      <c r="K414" s="67"/>
      <c r="L414" s="136"/>
      <c r="M414" s="67"/>
      <c r="N414" s="136"/>
      <c r="O414" s="83" t="str">
        <f>IF(N414=Morgenmad,Tilmeldingsoversigt!$C$15," ")</f>
        <v xml:space="preserve"> </v>
      </c>
      <c r="P414" s="66"/>
    </row>
    <row r="415" spans="2:16" hidden="1" x14ac:dyDescent="0.25">
      <c r="B415" s="68"/>
      <c r="C415" s="69"/>
      <c r="D415" s="68"/>
      <c r="E415" s="69"/>
      <c r="F415" s="68"/>
      <c r="G415" s="69"/>
      <c r="H415" s="68"/>
      <c r="I415" s="69"/>
      <c r="J415" s="68"/>
      <c r="K415" s="69"/>
      <c r="L415" s="68"/>
      <c r="M415" s="69"/>
      <c r="N415" s="68"/>
      <c r="O415" s="70" t="str">
        <f>IF(N415=hovedret,Tilmeldingsoversigt!$C$16," ")</f>
        <v xml:space="preserve"> </v>
      </c>
      <c r="P415" s="66"/>
    </row>
    <row r="416" spans="2:16" hidden="1" x14ac:dyDescent="0.25">
      <c r="B416" s="68"/>
      <c r="C416" s="69"/>
      <c r="D416" s="68"/>
      <c r="E416" s="69"/>
      <c r="F416" s="68"/>
      <c r="G416" s="69"/>
      <c r="H416" s="68"/>
      <c r="I416" s="69"/>
      <c r="J416" s="68"/>
      <c r="K416" s="69"/>
      <c r="L416" s="68"/>
      <c r="M416" s="69"/>
      <c r="N416" s="68"/>
      <c r="O416" s="70" t="str">
        <f>IF(N416=Aftensmad,Tilmeldingsoversigt!$C$17," ")</f>
        <v xml:space="preserve"> </v>
      </c>
      <c r="P416" s="66"/>
    </row>
    <row r="417" spans="2:16" hidden="1" x14ac:dyDescent="0.25">
      <c r="B417" s="68"/>
      <c r="C417" s="69"/>
      <c r="D417" s="68"/>
      <c r="E417" s="69"/>
      <c r="F417" s="68"/>
      <c r="G417" s="69"/>
      <c r="H417" s="68"/>
      <c r="I417" s="69"/>
      <c r="J417" s="68"/>
      <c r="K417" s="69"/>
      <c r="L417" s="68"/>
      <c r="M417" s="69"/>
      <c r="N417" s="68"/>
      <c r="O417" s="70"/>
      <c r="P417" s="66"/>
    </row>
    <row r="418" spans="2:16" hidden="1" x14ac:dyDescent="0.25">
      <c r="B418" s="71"/>
      <c r="C418" s="72"/>
      <c r="D418" s="71"/>
      <c r="E418" s="72"/>
      <c r="F418" s="71"/>
      <c r="G418" s="72"/>
      <c r="H418" s="71"/>
      <c r="I418" s="72"/>
      <c r="J418" s="71"/>
      <c r="K418" s="72"/>
      <c r="L418" s="71"/>
      <c r="M418" s="72"/>
      <c r="N418" s="71"/>
      <c r="O418" s="73"/>
      <c r="P418" s="66"/>
    </row>
    <row r="419" spans="2:16" hidden="1" x14ac:dyDescent="0.25">
      <c r="B419" s="74" t="s">
        <v>44</v>
      </c>
      <c r="C419" s="11">
        <f>SUM(C414:C418)</f>
        <v>0</v>
      </c>
      <c r="D419" s="74"/>
      <c r="E419" s="11">
        <f>SUM(E414:E418)</f>
        <v>0</v>
      </c>
      <c r="F419" s="74"/>
      <c r="G419" s="11">
        <f>SUM(G414:G418)</f>
        <v>0</v>
      </c>
      <c r="H419" s="74"/>
      <c r="I419" s="11">
        <f>SUM(I414:I418)</f>
        <v>0</v>
      </c>
      <c r="J419" s="74"/>
      <c r="K419" s="11">
        <f>SUM(K414:K418)</f>
        <v>0</v>
      </c>
      <c r="L419" s="74"/>
      <c r="M419" s="11">
        <f>SUM(M414:M418)</f>
        <v>0</v>
      </c>
      <c r="N419" s="74"/>
      <c r="O419" s="12">
        <f>SUM(O414:O418)</f>
        <v>0</v>
      </c>
      <c r="P419" s="75">
        <f>SUMIF(B412:N412,"&gt;="&amp;15,C419:O419)</f>
        <v>0</v>
      </c>
    </row>
    <row r="420" spans="2:16" ht="17.25" hidden="1" customHeight="1" x14ac:dyDescent="0.2"/>
    <row r="421" spans="2:16" ht="12" x14ac:dyDescent="0.2">
      <c r="B421" s="246" t="s">
        <v>51</v>
      </c>
      <c r="C421" s="246"/>
      <c r="D421" s="246"/>
      <c r="E421" s="246"/>
      <c r="F421" s="49"/>
      <c r="G421" s="132">
        <f ca="1">Tilmeldingsoversigt!$E$15-(31-'Tilmeldte måltider'!G422)*Morgenpris</f>
        <v>511</v>
      </c>
      <c r="H421" s="49"/>
      <c r="I421" s="132">
        <f ca="1">Tilmeldingsoversigt!$E$16-(31-'Tilmeldte måltider'!I422)*Frokostpris</f>
        <v>1678</v>
      </c>
      <c r="J421" s="49"/>
      <c r="K421" s="132">
        <f ca="1">Tilmeldingsoversigt!$E$17-(31-'Tilmeldte måltider'!K422)*Aftenpris</f>
        <v>840</v>
      </c>
      <c r="L421" s="247" t="s">
        <v>32</v>
      </c>
      <c r="M421" s="247"/>
      <c r="N421" s="247" t="s">
        <v>33</v>
      </c>
      <c r="O421" s="247"/>
      <c r="P421" s="49"/>
    </row>
    <row r="422" spans="2:16" ht="25.5" customHeight="1" x14ac:dyDescent="0.25">
      <c r="B422" s="246"/>
      <c r="C422" s="246"/>
      <c r="D422" s="246"/>
      <c r="E422" s="246"/>
      <c r="F422" s="97" t="str">
        <f>Morgenmad</f>
        <v>Morgenmad</v>
      </c>
      <c r="G422" s="97">
        <f ca="1">IF(L423=FALSE,0,(COUNTIF(B428:O469,Morgenmad)))</f>
        <v>31</v>
      </c>
      <c r="H422" s="97" t="str">
        <f>hovedret</f>
        <v>Hovedret</v>
      </c>
      <c r="I422" s="97">
        <f ca="1">IF(L423=FALSE,0,(COUNTIF(B428:O469,hovedret)))</f>
        <v>31</v>
      </c>
      <c r="J422" s="97" t="str">
        <f>Aftensmad</f>
        <v>Aftensmad</v>
      </c>
      <c r="K422" s="97">
        <f ca="1">IF(L423=FALSE,0,(COUNTIF(B429:O470,Aftensmad)))</f>
        <v>31</v>
      </c>
      <c r="L422" s="248">
        <f ca="1">IF(august_sum=0,0,månedligtotal)</f>
        <v>3000</v>
      </c>
      <c r="M422" s="249"/>
      <c r="N422" s="248">
        <f ca="1">hovedtotal</f>
        <v>36000.409836065577</v>
      </c>
      <c r="O422" s="250"/>
      <c r="P422" s="49"/>
    </row>
    <row r="423" spans="2:16" ht="25.5" customHeight="1" x14ac:dyDescent="0.45">
      <c r="B423" s="121"/>
      <c r="C423" s="121"/>
      <c r="D423" s="121"/>
      <c r="E423" s="121"/>
      <c r="F423" s="98" t="str">
        <f>biret</f>
        <v>Biret</v>
      </c>
      <c r="G423" s="97">
        <f ca="1">IF(august_sum=0,0,(COUNTIF($B$428:$O$477,biret)))</f>
        <v>31</v>
      </c>
      <c r="H423" s="98" t="str">
        <f>mellemmåltid</f>
        <v>Mellemmåltid</v>
      </c>
      <c r="I423" s="97">
        <f ca="1">IF(august_sum=0,0,(COUNTIF($B$428:$O$478,mellemmåltid)))</f>
        <v>0</v>
      </c>
      <c r="J423" s="98"/>
      <c r="K423" s="98"/>
      <c r="L423" s="243" t="b">
        <f>IF(AND(L424,N424)=TRUE,TRUE,FALSE)</f>
        <v>1</v>
      </c>
      <c r="M423" s="244"/>
      <c r="N423" s="137">
        <f ca="1">G421+I421+K421</f>
        <v>3029</v>
      </c>
      <c r="O423" s="137"/>
      <c r="P423" s="49"/>
    </row>
    <row r="424" spans="2:16" ht="25.5" hidden="1" customHeight="1" x14ac:dyDescent="0.45">
      <c r="B424" s="121"/>
      <c r="C424" s="121"/>
      <c r="D424" s="121"/>
      <c r="E424" s="121"/>
      <c r="F424" s="138"/>
      <c r="G424" s="138"/>
      <c r="H424" s="138"/>
      <c r="I424" s="138"/>
      <c r="J424" s="138"/>
      <c r="K424" s="138"/>
      <c r="L424" s="242" t="b">
        <f>IF(OR(VLOOKUP(start_måned,Dataark!$C$5:$D$16,2,FALSE)&lt;=8,$L$364=TRUE),TRUE,FALSE)</f>
        <v>1</v>
      </c>
      <c r="M424" s="242"/>
      <c r="N424" s="242" t="b">
        <f>IF(AND(VLOOKUP(slut_måned,Dataark!$C$5:$D$16,2,FALSE)&gt;=8,L424=TRUE),TRUE,FALSE)</f>
        <v>1</v>
      </c>
      <c r="O424" s="242"/>
      <c r="P424" s="49"/>
    </row>
    <row r="425" spans="2:16" ht="9" customHeight="1" x14ac:dyDescent="0.2">
      <c r="B425" s="251">
        <v>1</v>
      </c>
      <c r="C425" s="251"/>
      <c r="D425" s="251">
        <v>2</v>
      </c>
      <c r="E425" s="251"/>
      <c r="F425" s="251">
        <v>3</v>
      </c>
      <c r="G425" s="251"/>
      <c r="H425" s="251">
        <v>4</v>
      </c>
      <c r="I425" s="251"/>
      <c r="J425" s="251">
        <v>5</v>
      </c>
      <c r="K425" s="251"/>
      <c r="L425" s="251">
        <v>6</v>
      </c>
      <c r="M425" s="251"/>
      <c r="N425" s="251">
        <v>7</v>
      </c>
      <c r="O425" s="251"/>
      <c r="P425" s="135">
        <f ca="1">IF(L423=TRUE,(N423),0)</f>
        <v>3029</v>
      </c>
    </row>
    <row r="426" spans="2:16" ht="15" customHeight="1" x14ac:dyDescent="0.25">
      <c r="B426" s="252" t="s">
        <v>34</v>
      </c>
      <c r="C426" s="253"/>
      <c r="D426" s="254" t="s">
        <v>35</v>
      </c>
      <c r="E426" s="255" t="e">
        <f>IF(WEEKDAY(DATEVALUE(Month1&amp;" 1, "&amp;Year1))=COLUMN(#REF!),1,IF(LEN(C426)&gt;0,C426+1,""))</f>
        <v>#NAME?</v>
      </c>
      <c r="F426" s="253" t="s">
        <v>36</v>
      </c>
      <c r="G426" s="253" t="e">
        <f>IF(WEEKDAY(DATEVALUE(Month1&amp;" 1, "&amp;Year1))=COLUMN(#REF!),1,IF(LEN(E426)&gt;0,E426+1,""))</f>
        <v>#NAME?</v>
      </c>
      <c r="H426" s="254" t="s">
        <v>37</v>
      </c>
      <c r="I426" s="255" t="e">
        <f>IF(WEEKDAY(DATEVALUE(Month1&amp;" 1, "&amp;Year1))=COLUMN(#REF!),1,IF(LEN(G426)&gt;0,G426+1,""))</f>
        <v>#NAME?</v>
      </c>
      <c r="J426" s="256" t="s">
        <v>38</v>
      </c>
      <c r="K426" s="257" t="e">
        <f>IF(WEEKDAY(DATEVALUE(Month1&amp;" 1, "&amp;Year1))=COLUMN(#REF!),1,IF(LEN(I426)&gt;0,I426+1,""))</f>
        <v>#NAME?</v>
      </c>
      <c r="L426" s="258" t="s">
        <v>39</v>
      </c>
      <c r="M426" s="259" t="e">
        <f>IF(WEEKDAY(DATEVALUE(Month1&amp;" 1, "&amp;Year1))=COLUMN(#REF!),1,IF(LEN(K426)&gt;0,K426+1,""))</f>
        <v>#NAME?</v>
      </c>
      <c r="N426" s="258" t="s">
        <v>40</v>
      </c>
      <c r="O426" s="259" t="e">
        <f>IF(WEEKDAY(DATEVALUE(Month1&amp;" 1, "&amp;Year1))=COLUMN(#REF!),1,IF(LEN(M426)&gt;0,M426+1,""))</f>
        <v>#NAME?</v>
      </c>
      <c r="P426" s="53" t="s">
        <v>41</v>
      </c>
    </row>
    <row r="427" spans="2:16" ht="12.75" x14ac:dyDescent="0.25">
      <c r="B427" s="55">
        <f>DAY(IF(DAY(AugSøn1)=1,AugSøn1-6,AugSøn1+1))</f>
        <v>29</v>
      </c>
      <c r="C427" s="56"/>
      <c r="D427" s="57">
        <f>DAY(IF(DAY(AugSøn1)=1,AugSøn1-5,AugSøn1+2))</f>
        <v>30</v>
      </c>
      <c r="E427" s="56"/>
      <c r="F427" s="57">
        <f>DAY(IF(DAY(AugSøn1)=1,AugSøn1-4,AugSøn1+3))</f>
        <v>31</v>
      </c>
      <c r="G427" s="56"/>
      <c r="H427" s="57">
        <f>DAY(IF(DAY(AugSøn1)=1,AugSøn1-3,AugSøn1+4))</f>
        <v>1</v>
      </c>
      <c r="I427" s="56"/>
      <c r="J427" s="57">
        <f>DAY(IF(DAY(AugSøn1)=1,AugSøn1-2,AugSøn1+5))</f>
        <v>2</v>
      </c>
      <c r="K427" s="56"/>
      <c r="L427" s="57">
        <f>DAY(IF(DAY(AugSøn1)=1,AugSøn1-1,AugSøn1+6))</f>
        <v>3</v>
      </c>
      <c r="M427" s="56"/>
      <c r="N427" s="58">
        <f>DAY(IF(DAY(AugSøn1)=1,AugSøn1,AugSøn1+7))</f>
        <v>4</v>
      </c>
      <c r="O427" s="59"/>
      <c r="P427" s="60"/>
    </row>
    <row r="428" spans="2:16" x14ac:dyDescent="0.25">
      <c r="B428" s="61" t="s">
        <v>42</v>
      </c>
      <c r="C428" s="62" t="s">
        <v>43</v>
      </c>
      <c r="D428" s="63" t="s">
        <v>42</v>
      </c>
      <c r="E428" s="62" t="s">
        <v>43</v>
      </c>
      <c r="F428" s="63" t="s">
        <v>42</v>
      </c>
      <c r="G428" s="62" t="s">
        <v>43</v>
      </c>
      <c r="H428" s="63" t="s">
        <v>42</v>
      </c>
      <c r="I428" s="62" t="s">
        <v>43</v>
      </c>
      <c r="J428" s="63" t="s">
        <v>42</v>
      </c>
      <c r="K428" s="62" t="s">
        <v>43</v>
      </c>
      <c r="L428" s="63" t="s">
        <v>42</v>
      </c>
      <c r="M428" s="62" t="s">
        <v>43</v>
      </c>
      <c r="N428" s="64" t="s">
        <v>42</v>
      </c>
      <c r="O428" s="65" t="s">
        <v>43</v>
      </c>
      <c r="P428" s="66"/>
    </row>
    <row r="429" spans="2:16" x14ac:dyDescent="0.25">
      <c r="B429" s="136" t="str">
        <f>IF(Tilmeldingsoversigt!$C$7="x",Morgenmad," ")</f>
        <v>Morgenmad</v>
      </c>
      <c r="C429" s="67">
        <f ca="1">IF(B429=Morgenmad,Tilmeldingsoversigt!$C$15," ")</f>
        <v>16.754098360655739</v>
      </c>
      <c r="D429" s="136" t="str">
        <f>IF(Tilmeldingsoversigt!$D$7="x",Morgenmad," ")</f>
        <v>Morgenmad</v>
      </c>
      <c r="E429" s="67">
        <f ca="1">IF(D429=Morgenmad,Tilmeldingsoversigt!$C$15," ")</f>
        <v>16.754098360655739</v>
      </c>
      <c r="F429" s="136" t="str">
        <f>IF(Tilmeldingsoversigt!$E$7="x",Morgenmad," ")</f>
        <v>Morgenmad</v>
      </c>
      <c r="G429" s="67">
        <f ca="1">IF(F429=Morgenmad,Tilmeldingsoversigt!$C$15," ")</f>
        <v>16.754098360655739</v>
      </c>
      <c r="H429" s="136" t="str">
        <f>IF(Tilmeldingsoversigt!$F$7="x",Morgenmad," ")</f>
        <v>Morgenmad</v>
      </c>
      <c r="I429" s="67">
        <f ca="1">IF(H429=Morgenmad,Tilmeldingsoversigt!$C$15," ")</f>
        <v>16.754098360655739</v>
      </c>
      <c r="J429" s="136" t="str">
        <f>IF(Tilmeldingsoversigt!$G$7="x",Morgenmad," ")</f>
        <v>Morgenmad</v>
      </c>
      <c r="K429" s="67">
        <f ca="1">IF(J429=Morgenmad,Tilmeldingsoversigt!$C$15," ")</f>
        <v>16.754098360655739</v>
      </c>
      <c r="L429" s="136" t="str">
        <f>IF(Tilmeldingsoversigt!$H$7="x",Morgenmad," ")</f>
        <v>Morgenmad</v>
      </c>
      <c r="M429" s="67">
        <f ca="1">IF(L429=Morgenmad,Tilmeldingsoversigt!$C$15," ")</f>
        <v>16.754098360655739</v>
      </c>
      <c r="N429" s="136" t="str">
        <f>IF(Tilmeldingsoversigt!$I$7="x",Morgenmad," ")</f>
        <v>Morgenmad</v>
      </c>
      <c r="O429" s="83">
        <f ca="1">IF(N429=Morgenmad,Tilmeldingsoversigt!$C$15," ")</f>
        <v>16.754098360655739</v>
      </c>
      <c r="P429" s="66"/>
    </row>
    <row r="430" spans="2:16" x14ac:dyDescent="0.25">
      <c r="B430" s="68" t="str">
        <f>IF(Tilmeldingsoversigt!$C$8="x",hovedret," ")</f>
        <v>Hovedret</v>
      </c>
      <c r="C430" s="69">
        <f ca="1">IF(B430=hovedret,Tilmeldingsoversigt!$C$16," ")</f>
        <v>55.016393442622949</v>
      </c>
      <c r="D430" s="68" t="str">
        <f>IF(Tilmeldingsoversigt!$D$8="x",hovedret," ")</f>
        <v>Hovedret</v>
      </c>
      <c r="E430" s="69">
        <f ca="1">IF(D430=hovedret,Tilmeldingsoversigt!$C$16," ")</f>
        <v>55.016393442622949</v>
      </c>
      <c r="F430" s="68" t="str">
        <f>IF(Tilmeldingsoversigt!$E$8="x",hovedret," ")</f>
        <v>Hovedret</v>
      </c>
      <c r="G430" s="69">
        <f ca="1">IF(F430=hovedret,Tilmeldingsoversigt!$C$16," ")</f>
        <v>55.016393442622949</v>
      </c>
      <c r="H430" s="68" t="str">
        <f>IF(Tilmeldingsoversigt!$F$8="x",hovedret," ")</f>
        <v>Hovedret</v>
      </c>
      <c r="I430" s="69">
        <f ca="1">IF(H430=hovedret,Tilmeldingsoversigt!$C$16," ")</f>
        <v>55.016393442622949</v>
      </c>
      <c r="J430" s="68" t="str">
        <f>IF(Tilmeldingsoversigt!$G$8="x",hovedret," ")</f>
        <v>Hovedret</v>
      </c>
      <c r="K430" s="69">
        <f ca="1">IF(J430=hovedret,Tilmeldingsoversigt!$C$16," ")</f>
        <v>55.016393442622949</v>
      </c>
      <c r="L430" s="68" t="str">
        <f>IF(Tilmeldingsoversigt!$H$8="x",hovedret," ")</f>
        <v>Hovedret</v>
      </c>
      <c r="M430" s="69">
        <f ca="1">IF(L430=hovedret,Tilmeldingsoversigt!$C$16," ")</f>
        <v>55.016393442622949</v>
      </c>
      <c r="N430" s="68" t="str">
        <f>IF(Tilmeldingsoversigt!$I$8="x",hovedret," ")</f>
        <v>Hovedret</v>
      </c>
      <c r="O430" s="70">
        <f ca="1">IF(N430=hovedret,Tilmeldingsoversigt!$C$16," ")</f>
        <v>55.016393442622949</v>
      </c>
      <c r="P430" s="66"/>
    </row>
    <row r="431" spans="2:16" x14ac:dyDescent="0.25">
      <c r="B431" s="68" t="str">
        <f>IF(Tilmeldingsoversigt!$C$9="x",Aftensmad," ")</f>
        <v>Aftensmad</v>
      </c>
      <c r="C431" s="69">
        <f ca="1">IF(B431=Aftensmad,Tilmeldingsoversigt!$C$17," ")</f>
        <v>27.540983606557376</v>
      </c>
      <c r="D431" s="68" t="str">
        <f>IF(Tilmeldingsoversigt!$D$9="x",Aftensmad," ")</f>
        <v>Aftensmad</v>
      </c>
      <c r="E431" s="69">
        <f ca="1">IF(D431=Aftensmad,Tilmeldingsoversigt!$C$17," ")</f>
        <v>27.540983606557376</v>
      </c>
      <c r="F431" s="68" t="str">
        <f>IF(Tilmeldingsoversigt!$E$9="x",Aftensmad," ")</f>
        <v>Aftensmad</v>
      </c>
      <c r="G431" s="69">
        <f ca="1">IF(F431=Aftensmad,Tilmeldingsoversigt!$C$17," ")</f>
        <v>27.540983606557376</v>
      </c>
      <c r="H431" s="68" t="str">
        <f>IF(Tilmeldingsoversigt!$F$9="x",Aftensmad," ")</f>
        <v>Aftensmad</v>
      </c>
      <c r="I431" s="69">
        <f ca="1">IF(H431=Aftensmad,Tilmeldingsoversigt!$C$17," ")</f>
        <v>27.540983606557376</v>
      </c>
      <c r="J431" s="68" t="str">
        <f>IF(Tilmeldingsoversigt!$G$9="x",Aftensmad," ")</f>
        <v>Aftensmad</v>
      </c>
      <c r="K431" s="69">
        <f ca="1">IF(J431=Aftensmad,Tilmeldingsoversigt!$C$17," ")</f>
        <v>27.540983606557376</v>
      </c>
      <c r="L431" s="68" t="str">
        <f>IF(Tilmeldingsoversigt!$H$9="x",Aftensmad," ")</f>
        <v>Aftensmad</v>
      </c>
      <c r="M431" s="69">
        <f ca="1">IF(L431=Aftensmad,Tilmeldingsoversigt!$C$17," ")</f>
        <v>27.540983606557376</v>
      </c>
      <c r="N431" s="68" t="str">
        <f>IF(Tilmeldingsoversigt!$I$9="x",Aftensmad," ")</f>
        <v>Aftensmad</v>
      </c>
      <c r="O431" s="70">
        <f ca="1">IF(N431=Aftensmad,Tilmeldingsoversigt!$C$17," ")</f>
        <v>27.540983606557376</v>
      </c>
      <c r="P431" s="66"/>
    </row>
    <row r="432" spans="2:16" x14ac:dyDescent="0.25">
      <c r="B432" s="68" t="str">
        <f>IF(Tilmeldingsoversigt!$C$10="x",biret," ")</f>
        <v>Biret</v>
      </c>
      <c r="C432" s="69">
        <f>IF(B432=biret,biretpris," ")</f>
        <v>0</v>
      </c>
      <c r="D432" s="68" t="str">
        <f>IF(Tilmeldingsoversigt!$D$10="x",biret," ")</f>
        <v>Biret</v>
      </c>
      <c r="E432" s="69">
        <f>IF(D432=biret,biretpris," ")</f>
        <v>0</v>
      </c>
      <c r="F432" s="68" t="str">
        <f>IF(Tilmeldingsoversigt!$E$10="x",biret," ")</f>
        <v>Biret</v>
      </c>
      <c r="G432" s="69">
        <f>IF(F432=biret,biretpris," ")</f>
        <v>0</v>
      </c>
      <c r="H432" s="68" t="str">
        <f>IF(Tilmeldingsoversigt!$F$10="x",biret," ")</f>
        <v>Biret</v>
      </c>
      <c r="I432" s="69">
        <f>IF(H432=biret,biretpris," ")</f>
        <v>0</v>
      </c>
      <c r="J432" s="68" t="str">
        <f>IF(Tilmeldingsoversigt!$G$10="x",biret," ")</f>
        <v>Biret</v>
      </c>
      <c r="K432" s="70">
        <f>IF(J432=biret,biretpris," ")</f>
        <v>0</v>
      </c>
      <c r="L432" s="68" t="str">
        <f>IF(Tilmeldingsoversigt!$H$10="x",biret," ")</f>
        <v>Biret</v>
      </c>
      <c r="M432" s="69">
        <f>IF(L432=biret,biretpris," ")</f>
        <v>0</v>
      </c>
      <c r="N432" s="68" t="str">
        <f>IF(Tilmeldingsoversigt!$I$10="x",biret," ")</f>
        <v>Biret</v>
      </c>
      <c r="O432" s="70">
        <f>IF(N432=biret,biretpris," ")</f>
        <v>0</v>
      </c>
      <c r="P432" s="66"/>
    </row>
    <row r="433" spans="2:16" x14ac:dyDescent="0.25">
      <c r="B433" s="71" t="str">
        <f>IF(Tilmeldingsoversigt!$C$11="x",mellemmåltid," ")</f>
        <v xml:space="preserve"> </v>
      </c>
      <c r="C433" s="69" t="str">
        <f>IF(B433=mellemmåltid,mellemmåltidspris," ")</f>
        <v xml:space="preserve"> </v>
      </c>
      <c r="D433" s="71" t="str">
        <f>IF(Tilmeldingsoversigt!$C$11="x",mellemmåltid," ")</f>
        <v xml:space="preserve"> </v>
      </c>
      <c r="E433" s="72" t="str">
        <f>IF(D433=mellemmåltid,mellemmåltidspris," ")</f>
        <v xml:space="preserve"> </v>
      </c>
      <c r="F433" s="71" t="str">
        <f>IF(Tilmeldingsoversigt!$C$11="x",mellemmåltid," ")</f>
        <v xml:space="preserve"> </v>
      </c>
      <c r="G433" s="72" t="str">
        <f>IF(F433=mellemmåltid,mellemmåltidspris," ")</f>
        <v xml:space="preserve"> </v>
      </c>
      <c r="H433" s="71" t="str">
        <f>IF(Tilmeldingsoversigt!$C$11="x",mellemmåltid," ")</f>
        <v xml:space="preserve"> </v>
      </c>
      <c r="I433" s="72" t="str">
        <f>IF(H433=mellemmåltid,mellemmåltidspris," ")</f>
        <v xml:space="preserve"> </v>
      </c>
      <c r="J433" s="71" t="str">
        <f>IF(Tilmeldingsoversigt!$C$11="x",mellemmåltid," ")</f>
        <v xml:space="preserve"> </v>
      </c>
      <c r="K433" s="73" t="str">
        <f>IF(J433=mellemmåltid,mellemmåltidspris," ")</f>
        <v xml:space="preserve"> </v>
      </c>
      <c r="L433" s="71" t="str">
        <f>IF(Tilmeldingsoversigt!$C$11="x",mellemmåltid," ")</f>
        <v xml:space="preserve"> </v>
      </c>
      <c r="M433" s="72" t="str">
        <f>IF(L433=mellemmåltid,mellemmåltidspris," ")</f>
        <v xml:space="preserve"> </v>
      </c>
      <c r="N433" s="71" t="str">
        <f>IF(Tilmeldingsoversigt!$C$11="x",mellemmåltid," ")</f>
        <v xml:space="preserve"> </v>
      </c>
      <c r="O433" s="73" t="str">
        <f>IF(N433=mellemmåltid,mellemmåltidspris," ")</f>
        <v xml:space="preserve"> </v>
      </c>
      <c r="P433" s="66"/>
    </row>
    <row r="434" spans="2:16" x14ac:dyDescent="0.25">
      <c r="B434" s="74" t="s">
        <v>44</v>
      </c>
      <c r="C434" s="11">
        <f ca="1">SUM(C429:C433)</f>
        <v>99.311475409836063</v>
      </c>
      <c r="D434" s="74"/>
      <c r="E434" s="11">
        <f ca="1">SUM(E429:E433)</f>
        <v>99.311475409836063</v>
      </c>
      <c r="F434" s="74"/>
      <c r="G434" s="11">
        <f ca="1">SUM(G429:G433)</f>
        <v>99.311475409836063</v>
      </c>
      <c r="H434" s="74"/>
      <c r="I434" s="11">
        <f ca="1">SUM(I429:I433)</f>
        <v>99.311475409836063</v>
      </c>
      <c r="J434" s="74"/>
      <c r="K434" s="11">
        <f ca="1">SUM(K429:K433)</f>
        <v>99.311475409836063</v>
      </c>
      <c r="L434" s="74"/>
      <c r="M434" s="11">
        <f ca="1">SUM(M429:M433)</f>
        <v>99.311475409836063</v>
      </c>
      <c r="N434" s="74"/>
      <c r="O434" s="12">
        <f ca="1">SUM(O429:O433)</f>
        <v>99.311475409836063</v>
      </c>
      <c r="P434" s="75">
        <f ca="1">SUMIF(B427:N427,"&lt;8",C434:O434)</f>
        <v>397.24590163934425</v>
      </c>
    </row>
    <row r="435" spans="2:16" x14ac:dyDescent="0.2">
      <c r="B435" s="76"/>
      <c r="C435" s="77"/>
      <c r="D435" s="77"/>
      <c r="E435" s="77"/>
      <c r="F435" s="77"/>
      <c r="G435" s="77"/>
      <c r="H435" s="77"/>
      <c r="I435" s="77"/>
      <c r="J435" s="77"/>
      <c r="K435" s="77"/>
      <c r="L435" s="77"/>
      <c r="M435" s="77"/>
      <c r="N435" s="77"/>
      <c r="O435" s="77"/>
      <c r="P435" s="76"/>
    </row>
    <row r="436" spans="2:16" ht="12.75" x14ac:dyDescent="0.25">
      <c r="B436" s="78">
        <f>N427+1</f>
        <v>5</v>
      </c>
      <c r="C436" s="79"/>
      <c r="D436" s="78">
        <f>B436+1</f>
        <v>6</v>
      </c>
      <c r="E436" s="79"/>
      <c r="F436" s="78">
        <f>D436+1</f>
        <v>7</v>
      </c>
      <c r="G436" s="79"/>
      <c r="H436" s="78">
        <f>F436+1</f>
        <v>8</v>
      </c>
      <c r="I436" s="79"/>
      <c r="J436" s="78">
        <f>H436+1</f>
        <v>9</v>
      </c>
      <c r="K436" s="79"/>
      <c r="L436" s="78">
        <f>J436+1</f>
        <v>10</v>
      </c>
      <c r="M436" s="79"/>
      <c r="N436" s="78">
        <f>L436+1</f>
        <v>11</v>
      </c>
      <c r="O436" s="79"/>
      <c r="P436" s="80"/>
    </row>
    <row r="437" spans="2:16" x14ac:dyDescent="0.25">
      <c r="B437" s="64" t="s">
        <v>42</v>
      </c>
      <c r="C437" s="81" t="s">
        <v>43</v>
      </c>
      <c r="D437" s="64" t="s">
        <v>42</v>
      </c>
      <c r="E437" s="81" t="s">
        <v>43</v>
      </c>
      <c r="F437" s="64" t="s">
        <v>42</v>
      </c>
      <c r="G437" s="81" t="s">
        <v>43</v>
      </c>
      <c r="H437" s="64" t="s">
        <v>42</v>
      </c>
      <c r="I437" s="81" t="s">
        <v>43</v>
      </c>
      <c r="J437" s="64" t="s">
        <v>42</v>
      </c>
      <c r="K437" s="81" t="s">
        <v>43</v>
      </c>
      <c r="L437" s="64" t="s">
        <v>42</v>
      </c>
      <c r="M437" s="81" t="s">
        <v>43</v>
      </c>
      <c r="N437" s="64" t="s">
        <v>42</v>
      </c>
      <c r="O437" s="82" t="s">
        <v>43</v>
      </c>
      <c r="P437" s="66"/>
    </row>
    <row r="438" spans="2:16" x14ac:dyDescent="0.25">
      <c r="B438" s="136" t="str">
        <f>IF(Tilmeldingsoversigt!$C$7="x",Morgenmad," ")</f>
        <v>Morgenmad</v>
      </c>
      <c r="C438" s="67">
        <f ca="1">IF(B438=Morgenmad,Tilmeldingsoversigt!$C$15," ")</f>
        <v>16.754098360655739</v>
      </c>
      <c r="D438" s="136" t="str">
        <f>IF(Tilmeldingsoversigt!$D$7="x",Morgenmad," ")</f>
        <v>Morgenmad</v>
      </c>
      <c r="E438" s="67">
        <f ca="1">IF(D438=Morgenmad,Tilmeldingsoversigt!$C$15," ")</f>
        <v>16.754098360655739</v>
      </c>
      <c r="F438" s="136" t="str">
        <f>IF(Tilmeldingsoversigt!$E$7="x",Morgenmad," ")</f>
        <v>Morgenmad</v>
      </c>
      <c r="G438" s="67">
        <f ca="1">IF(F438=Morgenmad,Tilmeldingsoversigt!$C$15," ")</f>
        <v>16.754098360655739</v>
      </c>
      <c r="H438" s="136" t="str">
        <f>IF(Tilmeldingsoversigt!$F$7="x",Morgenmad," ")</f>
        <v>Morgenmad</v>
      </c>
      <c r="I438" s="67">
        <f ca="1">IF(H438=Morgenmad,Tilmeldingsoversigt!$C$15," ")</f>
        <v>16.754098360655739</v>
      </c>
      <c r="J438" s="136" t="str">
        <f>IF(Tilmeldingsoversigt!$G$7="x",Morgenmad," ")</f>
        <v>Morgenmad</v>
      </c>
      <c r="K438" s="67">
        <f ca="1">IF(J438=Morgenmad,Tilmeldingsoversigt!$C$15," ")</f>
        <v>16.754098360655739</v>
      </c>
      <c r="L438" s="136" t="str">
        <f>IF(Tilmeldingsoversigt!$H$7="x",Morgenmad," ")</f>
        <v>Morgenmad</v>
      </c>
      <c r="M438" s="67">
        <f ca="1">IF(L438=Morgenmad,Tilmeldingsoversigt!$C$15," ")</f>
        <v>16.754098360655739</v>
      </c>
      <c r="N438" s="136" t="str">
        <f>IF(Tilmeldingsoversigt!$I$7="x",Morgenmad," ")</f>
        <v>Morgenmad</v>
      </c>
      <c r="O438" s="83">
        <f ca="1">IF(N438=Morgenmad,Tilmeldingsoversigt!$C$15," ")</f>
        <v>16.754098360655739</v>
      </c>
      <c r="P438" s="66"/>
    </row>
    <row r="439" spans="2:16" x14ac:dyDescent="0.25">
      <c r="B439" s="68" t="str">
        <f>IF(Tilmeldingsoversigt!$C$8="x",hovedret," ")</f>
        <v>Hovedret</v>
      </c>
      <c r="C439" s="69">
        <f ca="1">IF(B439=hovedret,Tilmeldingsoversigt!$C$16," ")</f>
        <v>55.016393442622949</v>
      </c>
      <c r="D439" s="68" t="str">
        <f>IF(Tilmeldingsoversigt!$D$8="x",hovedret," ")</f>
        <v>Hovedret</v>
      </c>
      <c r="E439" s="69">
        <f ca="1">IF(D439=hovedret,Tilmeldingsoversigt!$C$16," ")</f>
        <v>55.016393442622949</v>
      </c>
      <c r="F439" s="68" t="str">
        <f>IF(Tilmeldingsoversigt!$E$8="x",hovedret," ")</f>
        <v>Hovedret</v>
      </c>
      <c r="G439" s="69">
        <f ca="1">IF(F439=hovedret,Tilmeldingsoversigt!$C$16," ")</f>
        <v>55.016393442622949</v>
      </c>
      <c r="H439" s="68" t="str">
        <f>IF(Tilmeldingsoversigt!$F$8="x",hovedret," ")</f>
        <v>Hovedret</v>
      </c>
      <c r="I439" s="69">
        <f ca="1">IF(H439=hovedret,Tilmeldingsoversigt!$C$16," ")</f>
        <v>55.016393442622949</v>
      </c>
      <c r="J439" s="68" t="str">
        <f>IF(Tilmeldingsoversigt!$G$8="x",hovedret," ")</f>
        <v>Hovedret</v>
      </c>
      <c r="K439" s="69">
        <f ca="1">IF(J439=hovedret,Tilmeldingsoversigt!$C$16," ")</f>
        <v>55.016393442622949</v>
      </c>
      <c r="L439" s="68" t="str">
        <f>IF(Tilmeldingsoversigt!$H$8="x",hovedret," ")</f>
        <v>Hovedret</v>
      </c>
      <c r="M439" s="69">
        <f ca="1">IF(L439=hovedret,Tilmeldingsoversigt!$C$16," ")</f>
        <v>55.016393442622949</v>
      </c>
      <c r="N439" s="68" t="str">
        <f>IF(Tilmeldingsoversigt!$I$8="x",hovedret," ")</f>
        <v>Hovedret</v>
      </c>
      <c r="O439" s="70">
        <f ca="1">IF(N439=hovedret,Tilmeldingsoversigt!$C$16," ")</f>
        <v>55.016393442622949</v>
      </c>
      <c r="P439" s="66"/>
    </row>
    <row r="440" spans="2:16" x14ac:dyDescent="0.25">
      <c r="B440" s="68" t="str">
        <f>IF(Tilmeldingsoversigt!$C$9="x",Aftensmad," ")</f>
        <v>Aftensmad</v>
      </c>
      <c r="C440" s="69">
        <f ca="1">IF(B440=Aftensmad,Tilmeldingsoversigt!$C$17," ")</f>
        <v>27.540983606557376</v>
      </c>
      <c r="D440" s="68" t="str">
        <f>IF(Tilmeldingsoversigt!$D$9="x",Aftensmad," ")</f>
        <v>Aftensmad</v>
      </c>
      <c r="E440" s="69">
        <f ca="1">IF(D440=Aftensmad,Tilmeldingsoversigt!$C$17," ")</f>
        <v>27.540983606557376</v>
      </c>
      <c r="F440" s="68" t="str">
        <f>IF(Tilmeldingsoversigt!$E$9="x",Aftensmad," ")</f>
        <v>Aftensmad</v>
      </c>
      <c r="G440" s="69">
        <f ca="1">IF(F440=Aftensmad,Tilmeldingsoversigt!$C$17," ")</f>
        <v>27.540983606557376</v>
      </c>
      <c r="H440" s="68" t="str">
        <f>IF(Tilmeldingsoversigt!$F$9="x",Aftensmad," ")</f>
        <v>Aftensmad</v>
      </c>
      <c r="I440" s="69">
        <f ca="1">IF(H440=Aftensmad,Tilmeldingsoversigt!$C$17," ")</f>
        <v>27.540983606557376</v>
      </c>
      <c r="J440" s="68" t="str">
        <f>IF(Tilmeldingsoversigt!$G$9="x",Aftensmad," ")</f>
        <v>Aftensmad</v>
      </c>
      <c r="K440" s="69">
        <f ca="1">IF(J440=Aftensmad,Tilmeldingsoversigt!$C$17," ")</f>
        <v>27.540983606557376</v>
      </c>
      <c r="L440" s="68" t="str">
        <f>IF(Tilmeldingsoversigt!$H$9="x",Aftensmad," ")</f>
        <v>Aftensmad</v>
      </c>
      <c r="M440" s="69">
        <f ca="1">IF(L440=Aftensmad,Tilmeldingsoversigt!$C$17," ")</f>
        <v>27.540983606557376</v>
      </c>
      <c r="N440" s="68" t="str">
        <f>IF(Tilmeldingsoversigt!$I$9="x",Aftensmad," ")</f>
        <v>Aftensmad</v>
      </c>
      <c r="O440" s="70">
        <f ca="1">IF(N440=Aftensmad,Tilmeldingsoversigt!$C$17," ")</f>
        <v>27.540983606557376</v>
      </c>
      <c r="P440" s="66"/>
    </row>
    <row r="441" spans="2:16" x14ac:dyDescent="0.25">
      <c r="B441" s="68" t="str">
        <f>IF(Tilmeldingsoversigt!$C$10="x",biret," ")</f>
        <v>Biret</v>
      </c>
      <c r="C441" s="69">
        <f>IF(B441=biret,biretpris," ")</f>
        <v>0</v>
      </c>
      <c r="D441" s="68" t="str">
        <f>IF(Tilmeldingsoversigt!$D$10="x",biret," ")</f>
        <v>Biret</v>
      </c>
      <c r="E441" s="69">
        <f>IF(D441=biret,biretpris," ")</f>
        <v>0</v>
      </c>
      <c r="F441" s="68" t="str">
        <f>IF(Tilmeldingsoversigt!$E$10="x",biret," ")</f>
        <v>Biret</v>
      </c>
      <c r="G441" s="69">
        <f>IF(F441=biret,biretpris," ")</f>
        <v>0</v>
      </c>
      <c r="H441" s="68" t="str">
        <f>IF(Tilmeldingsoversigt!$F$10="x",biret," ")</f>
        <v>Biret</v>
      </c>
      <c r="I441" s="69">
        <f>IF(H441=biret,biretpris," ")</f>
        <v>0</v>
      </c>
      <c r="J441" s="68" t="str">
        <f>IF(Tilmeldingsoversigt!$G$10="x",biret," ")</f>
        <v>Biret</v>
      </c>
      <c r="K441" s="70">
        <f>IF(J441=biret,biretpris," ")</f>
        <v>0</v>
      </c>
      <c r="L441" s="68" t="str">
        <f>IF(Tilmeldingsoversigt!$H$10="x",biret," ")</f>
        <v>Biret</v>
      </c>
      <c r="M441" s="69">
        <f>IF(L441=biret,biretpris," ")</f>
        <v>0</v>
      </c>
      <c r="N441" s="68" t="str">
        <f>IF(Tilmeldingsoversigt!$I$10="x",biret," ")</f>
        <v>Biret</v>
      </c>
      <c r="O441" s="70">
        <f>IF(N441=biret,biretpris," ")</f>
        <v>0</v>
      </c>
      <c r="P441" s="66"/>
    </row>
    <row r="442" spans="2:16" x14ac:dyDescent="0.25">
      <c r="B442" s="71" t="str">
        <f>IF(Tilmeldingsoversigt!$C$11="x",mellemmåltid," ")</f>
        <v xml:space="preserve"> </v>
      </c>
      <c r="C442" s="69" t="str">
        <f>IF(B442=mellemmåltid,mellemmåltidspris," ")</f>
        <v xml:space="preserve"> </v>
      </c>
      <c r="D442" s="71" t="str">
        <f>IF(Tilmeldingsoversigt!$C$11="x",mellemmåltid," ")</f>
        <v xml:space="preserve"> </v>
      </c>
      <c r="E442" s="72" t="str">
        <f>IF(D442=mellemmåltid,mellemmåltidspris," ")</f>
        <v xml:space="preserve"> </v>
      </c>
      <c r="F442" s="71" t="str">
        <f>IF(Tilmeldingsoversigt!$C$11="x",mellemmåltid," ")</f>
        <v xml:space="preserve"> </v>
      </c>
      <c r="G442" s="72" t="str">
        <f>IF(F442=mellemmåltid,mellemmåltidspris," ")</f>
        <v xml:space="preserve"> </v>
      </c>
      <c r="H442" s="71" t="str">
        <f>IF(Tilmeldingsoversigt!$C$11="x",mellemmåltid," ")</f>
        <v xml:space="preserve"> </v>
      </c>
      <c r="I442" s="72" t="str">
        <f>IF(H442=mellemmåltid,mellemmåltidspris," ")</f>
        <v xml:space="preserve"> </v>
      </c>
      <c r="J442" s="71" t="str">
        <f>IF(Tilmeldingsoversigt!$C$11="x",mellemmåltid," ")</f>
        <v xml:space="preserve"> </v>
      </c>
      <c r="K442" s="73" t="str">
        <f>IF(J442=mellemmåltid,mellemmåltidspris," ")</f>
        <v xml:space="preserve"> </v>
      </c>
      <c r="L442" s="71" t="str">
        <f>IF(Tilmeldingsoversigt!$C$11="x",mellemmåltid," ")</f>
        <v xml:space="preserve"> </v>
      </c>
      <c r="M442" s="72" t="str">
        <f>IF(L442=mellemmåltid,mellemmåltidspris," ")</f>
        <v xml:space="preserve"> </v>
      </c>
      <c r="N442" s="71" t="str">
        <f>IF(Tilmeldingsoversigt!$C$11="x",mellemmåltid," ")</f>
        <v xml:space="preserve"> </v>
      </c>
      <c r="O442" s="73" t="str">
        <f>IF(N442=mellemmåltid,mellemmåltidspris," ")</f>
        <v xml:space="preserve"> </v>
      </c>
      <c r="P442" s="66"/>
    </row>
    <row r="443" spans="2:16" x14ac:dyDescent="0.25">
      <c r="B443" s="74" t="s">
        <v>44</v>
      </c>
      <c r="C443" s="11">
        <f ca="1">SUM(C438:C442)</f>
        <v>99.311475409836063</v>
      </c>
      <c r="D443" s="74"/>
      <c r="E443" s="11">
        <f ca="1">SUM(E438:E442)</f>
        <v>99.311475409836063</v>
      </c>
      <c r="F443" s="74"/>
      <c r="G443" s="11">
        <f ca="1">SUM(G438:G442)</f>
        <v>99.311475409836063</v>
      </c>
      <c r="H443" s="74"/>
      <c r="I443" s="11">
        <f ca="1">SUM(I438:I442)</f>
        <v>99.311475409836063</v>
      </c>
      <c r="J443" s="74"/>
      <c r="K443" s="11">
        <f ca="1">SUM(K438:K442)</f>
        <v>99.311475409836063</v>
      </c>
      <c r="L443" s="74"/>
      <c r="M443" s="11">
        <f ca="1">SUM(M438:M442)</f>
        <v>99.311475409836063</v>
      </c>
      <c r="N443" s="74"/>
      <c r="O443" s="12">
        <f ca="1">SUM(O438:O442)</f>
        <v>99.311475409836063</v>
      </c>
      <c r="P443" s="75">
        <f ca="1">SUM(C443,E443,G443,I443,K443,M443,O443)</f>
        <v>695.18032786885237</v>
      </c>
    </row>
    <row r="444" spans="2:16" x14ac:dyDescent="0.2">
      <c r="B444" s="76"/>
      <c r="C444" s="77"/>
      <c r="D444" s="77"/>
      <c r="E444" s="77"/>
      <c r="F444" s="77"/>
      <c r="G444" s="77"/>
      <c r="H444" s="77"/>
      <c r="I444" s="77"/>
      <c r="J444" s="77"/>
      <c r="K444" s="77"/>
      <c r="L444" s="77"/>
      <c r="M444" s="77"/>
      <c r="N444" s="77"/>
      <c r="O444" s="77"/>
      <c r="P444" s="76"/>
    </row>
    <row r="445" spans="2:16" ht="12.75" x14ac:dyDescent="0.25">
      <c r="B445" s="78">
        <f>N436+1</f>
        <v>12</v>
      </c>
      <c r="C445" s="79"/>
      <c r="D445" s="78">
        <f>B445+1</f>
        <v>13</v>
      </c>
      <c r="E445" s="79"/>
      <c r="F445" s="78">
        <f>D445+1</f>
        <v>14</v>
      </c>
      <c r="G445" s="79"/>
      <c r="H445" s="78">
        <f>F445+1</f>
        <v>15</v>
      </c>
      <c r="I445" s="79"/>
      <c r="J445" s="78">
        <f>H445+1</f>
        <v>16</v>
      </c>
      <c r="K445" s="79"/>
      <c r="L445" s="78">
        <f>J445+1</f>
        <v>17</v>
      </c>
      <c r="M445" s="79"/>
      <c r="N445" s="78">
        <f>L445+1</f>
        <v>18</v>
      </c>
      <c r="O445" s="79"/>
      <c r="P445" s="80"/>
    </row>
    <row r="446" spans="2:16" x14ac:dyDescent="0.25">
      <c r="B446" s="64" t="s">
        <v>42</v>
      </c>
      <c r="C446" s="81" t="s">
        <v>43</v>
      </c>
      <c r="D446" s="64" t="s">
        <v>42</v>
      </c>
      <c r="E446" s="81" t="s">
        <v>43</v>
      </c>
      <c r="F446" s="64" t="s">
        <v>42</v>
      </c>
      <c r="G446" s="81" t="s">
        <v>43</v>
      </c>
      <c r="H446" s="64" t="s">
        <v>42</v>
      </c>
      <c r="I446" s="81" t="s">
        <v>43</v>
      </c>
      <c r="J446" s="64" t="s">
        <v>42</v>
      </c>
      <c r="K446" s="81" t="s">
        <v>43</v>
      </c>
      <c r="L446" s="64" t="s">
        <v>42</v>
      </c>
      <c r="M446" s="81" t="s">
        <v>43</v>
      </c>
      <c r="N446" s="64" t="s">
        <v>42</v>
      </c>
      <c r="O446" s="82" t="s">
        <v>43</v>
      </c>
      <c r="P446" s="66"/>
    </row>
    <row r="447" spans="2:16" x14ac:dyDescent="0.25">
      <c r="B447" s="136" t="str">
        <f>IF(Tilmeldingsoversigt!$C$7="x",Morgenmad," ")</f>
        <v>Morgenmad</v>
      </c>
      <c r="C447" s="67">
        <f ca="1">IF(B447=Morgenmad,Tilmeldingsoversigt!$C$15," ")</f>
        <v>16.754098360655739</v>
      </c>
      <c r="D447" s="136" t="str">
        <f>IF(Tilmeldingsoversigt!$D$7="x",Morgenmad," ")</f>
        <v>Morgenmad</v>
      </c>
      <c r="E447" s="67">
        <f ca="1">IF(D447=Morgenmad,Tilmeldingsoversigt!$C$15," ")</f>
        <v>16.754098360655739</v>
      </c>
      <c r="F447" s="136" t="str">
        <f>IF(Tilmeldingsoversigt!$E$7="x",Morgenmad," ")</f>
        <v>Morgenmad</v>
      </c>
      <c r="G447" s="67">
        <f ca="1">IF(F447=Morgenmad,Tilmeldingsoversigt!$C$15," ")</f>
        <v>16.754098360655739</v>
      </c>
      <c r="H447" s="136" t="str">
        <f>IF(Tilmeldingsoversigt!$F$7="x",Morgenmad," ")</f>
        <v>Morgenmad</v>
      </c>
      <c r="I447" s="67">
        <f ca="1">IF(H447=Morgenmad,Tilmeldingsoversigt!$C$15," ")</f>
        <v>16.754098360655739</v>
      </c>
      <c r="J447" s="136" t="str">
        <f>IF(Tilmeldingsoversigt!$G$7="x",Morgenmad," ")</f>
        <v>Morgenmad</v>
      </c>
      <c r="K447" s="67">
        <f ca="1">IF(J447=Morgenmad,Tilmeldingsoversigt!$C$15," ")</f>
        <v>16.754098360655739</v>
      </c>
      <c r="L447" s="136" t="str">
        <f>IF(Tilmeldingsoversigt!$H$7="x",Morgenmad," ")</f>
        <v>Morgenmad</v>
      </c>
      <c r="M447" s="67">
        <f ca="1">IF(L447=Morgenmad,Tilmeldingsoversigt!$C$15," ")</f>
        <v>16.754098360655739</v>
      </c>
      <c r="N447" s="136" t="str">
        <f>IF(Tilmeldingsoversigt!$I$7="x",Morgenmad," ")</f>
        <v>Morgenmad</v>
      </c>
      <c r="O447" s="83">
        <f ca="1">IF(N447=Morgenmad,Tilmeldingsoversigt!$C$15," ")</f>
        <v>16.754098360655739</v>
      </c>
      <c r="P447" s="66"/>
    </row>
    <row r="448" spans="2:16" x14ac:dyDescent="0.25">
      <c r="B448" s="68" t="str">
        <f>IF(Tilmeldingsoversigt!$C$8="x",hovedret," ")</f>
        <v>Hovedret</v>
      </c>
      <c r="C448" s="69">
        <f ca="1">IF(B448=hovedret,Tilmeldingsoversigt!$C$16," ")</f>
        <v>55.016393442622949</v>
      </c>
      <c r="D448" s="68" t="str">
        <f>IF(Tilmeldingsoversigt!$D$8="x",hovedret," ")</f>
        <v>Hovedret</v>
      </c>
      <c r="E448" s="69">
        <f ca="1">IF(D448=hovedret,Tilmeldingsoversigt!$C$16," ")</f>
        <v>55.016393442622949</v>
      </c>
      <c r="F448" s="68" t="str">
        <f>IF(Tilmeldingsoversigt!$E$8="x",hovedret," ")</f>
        <v>Hovedret</v>
      </c>
      <c r="G448" s="69">
        <f ca="1">IF(F448=hovedret,Tilmeldingsoversigt!$C$16," ")</f>
        <v>55.016393442622949</v>
      </c>
      <c r="H448" s="68" t="str">
        <f>IF(Tilmeldingsoversigt!$F$8="x",hovedret," ")</f>
        <v>Hovedret</v>
      </c>
      <c r="I448" s="69">
        <f ca="1">IF(H448=hovedret,Tilmeldingsoversigt!$C$16," ")</f>
        <v>55.016393442622949</v>
      </c>
      <c r="J448" s="68" t="str">
        <f>IF(Tilmeldingsoversigt!$G$8="x",hovedret," ")</f>
        <v>Hovedret</v>
      </c>
      <c r="K448" s="69">
        <f ca="1">IF(J448=hovedret,Tilmeldingsoversigt!$C$16," ")</f>
        <v>55.016393442622949</v>
      </c>
      <c r="L448" s="68" t="str">
        <f>IF(Tilmeldingsoversigt!$H$8="x",hovedret," ")</f>
        <v>Hovedret</v>
      </c>
      <c r="M448" s="69">
        <f ca="1">IF(L448=hovedret,Tilmeldingsoversigt!$C$16," ")</f>
        <v>55.016393442622949</v>
      </c>
      <c r="N448" s="68" t="str">
        <f>IF(Tilmeldingsoversigt!$I$8="x",hovedret," ")</f>
        <v>Hovedret</v>
      </c>
      <c r="O448" s="70">
        <f ca="1">IF(N448=hovedret,Tilmeldingsoversigt!$C$16," ")</f>
        <v>55.016393442622949</v>
      </c>
      <c r="P448" s="66"/>
    </row>
    <row r="449" spans="2:16" x14ac:dyDescent="0.25">
      <c r="B449" s="68" t="str">
        <f>IF(Tilmeldingsoversigt!$C$9="x",Aftensmad," ")</f>
        <v>Aftensmad</v>
      </c>
      <c r="C449" s="69">
        <f ca="1">IF(B449=Aftensmad,Tilmeldingsoversigt!$C$17," ")</f>
        <v>27.540983606557376</v>
      </c>
      <c r="D449" s="68" t="str">
        <f>IF(Tilmeldingsoversigt!$D$9="x",Aftensmad," ")</f>
        <v>Aftensmad</v>
      </c>
      <c r="E449" s="69">
        <f ca="1">IF(D449=Aftensmad,Tilmeldingsoversigt!$C$17," ")</f>
        <v>27.540983606557376</v>
      </c>
      <c r="F449" s="68" t="str">
        <f>IF(Tilmeldingsoversigt!$E$9="x",Aftensmad," ")</f>
        <v>Aftensmad</v>
      </c>
      <c r="G449" s="69">
        <f ca="1">IF(F449=Aftensmad,Tilmeldingsoversigt!$C$17," ")</f>
        <v>27.540983606557376</v>
      </c>
      <c r="H449" s="68" t="str">
        <f>IF(Tilmeldingsoversigt!$F$9="x",Aftensmad," ")</f>
        <v>Aftensmad</v>
      </c>
      <c r="I449" s="69">
        <f ca="1">IF(H449=Aftensmad,Tilmeldingsoversigt!$C$17," ")</f>
        <v>27.540983606557376</v>
      </c>
      <c r="J449" s="68" t="str">
        <f>IF(Tilmeldingsoversigt!$G$9="x",Aftensmad," ")</f>
        <v>Aftensmad</v>
      </c>
      <c r="K449" s="69">
        <f ca="1">IF(J449=Aftensmad,Tilmeldingsoversigt!$C$17," ")</f>
        <v>27.540983606557376</v>
      </c>
      <c r="L449" s="68" t="str">
        <f>IF(Tilmeldingsoversigt!$H$9="x",Aftensmad," ")</f>
        <v>Aftensmad</v>
      </c>
      <c r="M449" s="69">
        <f ca="1">IF(L449=Aftensmad,Tilmeldingsoversigt!$C$17," ")</f>
        <v>27.540983606557376</v>
      </c>
      <c r="N449" s="68" t="str">
        <f>IF(Tilmeldingsoversigt!$I$9="x",Aftensmad," ")</f>
        <v>Aftensmad</v>
      </c>
      <c r="O449" s="70">
        <f ca="1">IF(N449=Aftensmad,Tilmeldingsoversigt!$C$17," ")</f>
        <v>27.540983606557376</v>
      </c>
      <c r="P449" s="66"/>
    </row>
    <row r="450" spans="2:16" x14ac:dyDescent="0.25">
      <c r="B450" s="68" t="str">
        <f>IF(Tilmeldingsoversigt!$C$10="x",biret," ")</f>
        <v>Biret</v>
      </c>
      <c r="C450" s="69">
        <f>IF(B450=biret,biretpris," ")</f>
        <v>0</v>
      </c>
      <c r="D450" s="68" t="str">
        <f>IF(Tilmeldingsoversigt!$D$10="x",biret," ")</f>
        <v>Biret</v>
      </c>
      <c r="E450" s="69">
        <f>IF(D450=biret,biretpris," ")</f>
        <v>0</v>
      </c>
      <c r="F450" s="68" t="str">
        <f>IF(Tilmeldingsoversigt!$E$10="x",biret," ")</f>
        <v>Biret</v>
      </c>
      <c r="G450" s="69">
        <f>IF(F450=biret,biretpris," ")</f>
        <v>0</v>
      </c>
      <c r="H450" s="68" t="str">
        <f>IF(Tilmeldingsoversigt!$F$10="x",biret," ")</f>
        <v>Biret</v>
      </c>
      <c r="I450" s="69">
        <f>IF(H450=biret,biretpris," ")</f>
        <v>0</v>
      </c>
      <c r="J450" s="68" t="str">
        <f>IF(Tilmeldingsoversigt!$G$10="x",biret," ")</f>
        <v>Biret</v>
      </c>
      <c r="K450" s="70">
        <f>IF(J450=biret,biretpris," ")</f>
        <v>0</v>
      </c>
      <c r="L450" s="68" t="str">
        <f>IF(Tilmeldingsoversigt!$H$10="x",biret," ")</f>
        <v>Biret</v>
      </c>
      <c r="M450" s="69">
        <f>IF(L450=biret,biretpris," ")</f>
        <v>0</v>
      </c>
      <c r="N450" s="68" t="str">
        <f>IF(Tilmeldingsoversigt!$I$10="x",biret," ")</f>
        <v>Biret</v>
      </c>
      <c r="O450" s="70">
        <f>IF(N450=biret,biretpris," ")</f>
        <v>0</v>
      </c>
      <c r="P450" s="66"/>
    </row>
    <row r="451" spans="2:16" x14ac:dyDescent="0.25">
      <c r="B451" s="71" t="str">
        <f>IF(Tilmeldingsoversigt!$C$11="x",mellemmåltid," ")</f>
        <v xml:space="preserve"> </v>
      </c>
      <c r="C451" s="69" t="str">
        <f>IF(B451=mellemmåltid,mellemmåltidspris," ")</f>
        <v xml:space="preserve"> </v>
      </c>
      <c r="D451" s="71" t="str">
        <f>IF(Tilmeldingsoversigt!$C$11="x",mellemmåltid," ")</f>
        <v xml:space="preserve"> </v>
      </c>
      <c r="E451" s="72" t="str">
        <f>IF(D451=mellemmåltid,mellemmåltidspris," ")</f>
        <v xml:space="preserve"> </v>
      </c>
      <c r="F451" s="71" t="str">
        <f>IF(Tilmeldingsoversigt!$C$11="x",mellemmåltid," ")</f>
        <v xml:space="preserve"> </v>
      </c>
      <c r="G451" s="72" t="str">
        <f>IF(F451=mellemmåltid,mellemmåltidspris," ")</f>
        <v xml:space="preserve"> </v>
      </c>
      <c r="H451" s="71" t="str">
        <f>IF(Tilmeldingsoversigt!$C$11="x",mellemmåltid," ")</f>
        <v xml:space="preserve"> </v>
      </c>
      <c r="I451" s="72" t="str">
        <f>IF(H451=mellemmåltid,mellemmåltidspris," ")</f>
        <v xml:space="preserve"> </v>
      </c>
      <c r="J451" s="71" t="str">
        <f>IF(Tilmeldingsoversigt!$C$11="x",mellemmåltid," ")</f>
        <v xml:space="preserve"> </v>
      </c>
      <c r="K451" s="73" t="str">
        <f>IF(J451=mellemmåltid,mellemmåltidspris," ")</f>
        <v xml:space="preserve"> </v>
      </c>
      <c r="L451" s="71" t="str">
        <f>IF(Tilmeldingsoversigt!$C$11="x",mellemmåltid," ")</f>
        <v xml:space="preserve"> </v>
      </c>
      <c r="M451" s="72" t="str">
        <f>IF(L451=mellemmåltid,mellemmåltidspris," ")</f>
        <v xml:space="preserve"> </v>
      </c>
      <c r="N451" s="71" t="str">
        <f>IF(Tilmeldingsoversigt!$C$11="x",mellemmåltid," ")</f>
        <v xml:space="preserve"> </v>
      </c>
      <c r="O451" s="73" t="str">
        <f>IF(N451=mellemmåltid,mellemmåltidspris," ")</f>
        <v xml:space="preserve"> </v>
      </c>
      <c r="P451" s="66"/>
    </row>
    <row r="452" spans="2:16" x14ac:dyDescent="0.25">
      <c r="B452" s="84" t="s">
        <v>44</v>
      </c>
      <c r="C452" s="11">
        <f ca="1">SUM(C447:C451)</f>
        <v>99.311475409836063</v>
      </c>
      <c r="D452" s="74"/>
      <c r="E452" s="11">
        <f ca="1">SUM(E447:E451)</f>
        <v>99.311475409836063</v>
      </c>
      <c r="F452" s="74"/>
      <c r="G452" s="11">
        <f ca="1">SUM(G447:G451)</f>
        <v>99.311475409836063</v>
      </c>
      <c r="H452" s="74"/>
      <c r="I452" s="11">
        <f ca="1">SUM(I447:I451)</f>
        <v>99.311475409836063</v>
      </c>
      <c r="J452" s="74"/>
      <c r="K452" s="11">
        <f ca="1">SUM(K447:K451)</f>
        <v>99.311475409836063</v>
      </c>
      <c r="L452" s="74"/>
      <c r="M452" s="11">
        <f ca="1">SUM(M447:M451)</f>
        <v>99.311475409836063</v>
      </c>
      <c r="N452" s="74"/>
      <c r="O452" s="12">
        <f ca="1">SUM(O447:O451)</f>
        <v>99.311475409836063</v>
      </c>
      <c r="P452" s="75">
        <f ca="1">SUM(C452,E452,G452,I452,K452,M452,O452)</f>
        <v>695.18032786885237</v>
      </c>
    </row>
    <row r="453" spans="2:16" x14ac:dyDescent="0.2">
      <c r="B453" s="76"/>
      <c r="C453" s="77"/>
      <c r="D453" s="77"/>
      <c r="E453" s="77"/>
      <c r="F453" s="77"/>
      <c r="G453" s="77"/>
      <c r="H453" s="77"/>
      <c r="I453" s="77"/>
      <c r="J453" s="77"/>
      <c r="K453" s="77"/>
      <c r="L453" s="77"/>
      <c r="M453" s="77"/>
      <c r="N453" s="77"/>
      <c r="O453" s="77"/>
      <c r="P453" s="76"/>
    </row>
    <row r="454" spans="2:16" ht="12.75" x14ac:dyDescent="0.25">
      <c r="B454" s="78">
        <f>N445+1</f>
        <v>19</v>
      </c>
      <c r="C454" s="79"/>
      <c r="D454" s="78">
        <f>B454+1</f>
        <v>20</v>
      </c>
      <c r="E454" s="79"/>
      <c r="F454" s="78">
        <f>D454+1</f>
        <v>21</v>
      </c>
      <c r="G454" s="79"/>
      <c r="H454" s="78">
        <f>F454+1</f>
        <v>22</v>
      </c>
      <c r="I454" s="79"/>
      <c r="J454" s="78">
        <f>H454+1</f>
        <v>23</v>
      </c>
      <c r="K454" s="79"/>
      <c r="L454" s="78">
        <f>J454+1</f>
        <v>24</v>
      </c>
      <c r="M454" s="79"/>
      <c r="N454" s="78">
        <f>L454+1</f>
        <v>25</v>
      </c>
      <c r="O454" s="79"/>
      <c r="P454" s="80"/>
    </row>
    <row r="455" spans="2:16" x14ac:dyDescent="0.25">
      <c r="B455" s="64" t="s">
        <v>42</v>
      </c>
      <c r="C455" s="81" t="s">
        <v>43</v>
      </c>
      <c r="D455" s="64" t="s">
        <v>42</v>
      </c>
      <c r="E455" s="81" t="s">
        <v>43</v>
      </c>
      <c r="F455" s="64" t="s">
        <v>42</v>
      </c>
      <c r="G455" s="81" t="s">
        <v>43</v>
      </c>
      <c r="H455" s="64" t="s">
        <v>42</v>
      </c>
      <c r="I455" s="81" t="s">
        <v>43</v>
      </c>
      <c r="J455" s="64" t="s">
        <v>42</v>
      </c>
      <c r="K455" s="81" t="s">
        <v>43</v>
      </c>
      <c r="L455" s="64" t="s">
        <v>42</v>
      </c>
      <c r="M455" s="81" t="s">
        <v>43</v>
      </c>
      <c r="N455" s="64" t="s">
        <v>42</v>
      </c>
      <c r="O455" s="82" t="s">
        <v>43</v>
      </c>
      <c r="P455" s="66"/>
    </row>
    <row r="456" spans="2:16" x14ac:dyDescent="0.25">
      <c r="B456" s="136" t="str">
        <f>IF(Tilmeldingsoversigt!$C$7="x",Morgenmad," ")</f>
        <v>Morgenmad</v>
      </c>
      <c r="C456" s="67">
        <f ca="1">IF(B456=Morgenmad,Tilmeldingsoversigt!$C$15," ")</f>
        <v>16.754098360655739</v>
      </c>
      <c r="D456" s="136" t="str">
        <f>IF(Tilmeldingsoversigt!$D$7="x",Morgenmad," ")</f>
        <v>Morgenmad</v>
      </c>
      <c r="E456" s="67">
        <f ca="1">IF(D456=Morgenmad,Tilmeldingsoversigt!$C$15," ")</f>
        <v>16.754098360655739</v>
      </c>
      <c r="F456" s="136" t="str">
        <f>IF(Tilmeldingsoversigt!$E$7="x",Morgenmad," ")</f>
        <v>Morgenmad</v>
      </c>
      <c r="G456" s="67">
        <f ca="1">IF(F456=Morgenmad,Tilmeldingsoversigt!$C$15," ")</f>
        <v>16.754098360655739</v>
      </c>
      <c r="H456" s="136" t="str">
        <f>IF(Tilmeldingsoversigt!$F$7="x",Morgenmad," ")</f>
        <v>Morgenmad</v>
      </c>
      <c r="I456" s="67">
        <f ca="1">IF(H456=Morgenmad,Tilmeldingsoversigt!$C$15," ")</f>
        <v>16.754098360655739</v>
      </c>
      <c r="J456" s="136" t="str">
        <f>IF(Tilmeldingsoversigt!$G$7="x",Morgenmad," ")</f>
        <v>Morgenmad</v>
      </c>
      <c r="K456" s="67">
        <f ca="1">IF(J456=Morgenmad,Tilmeldingsoversigt!$C$15," ")</f>
        <v>16.754098360655739</v>
      </c>
      <c r="L456" s="136" t="str">
        <f>IF(Tilmeldingsoversigt!$H$7="x",Morgenmad," ")</f>
        <v>Morgenmad</v>
      </c>
      <c r="M456" s="67">
        <f ca="1">IF(L456=Morgenmad,Tilmeldingsoversigt!$C$15," ")</f>
        <v>16.754098360655739</v>
      </c>
      <c r="N456" s="136" t="str">
        <f>IF(Tilmeldingsoversigt!$I$7="x",Morgenmad," ")</f>
        <v>Morgenmad</v>
      </c>
      <c r="O456" s="83">
        <f ca="1">IF(N456=Morgenmad,Tilmeldingsoversigt!$C$15," ")</f>
        <v>16.754098360655739</v>
      </c>
      <c r="P456" s="66"/>
    </row>
    <row r="457" spans="2:16" x14ac:dyDescent="0.25">
      <c r="B457" s="68" t="str">
        <f>IF(Tilmeldingsoversigt!$C$8="x",hovedret," ")</f>
        <v>Hovedret</v>
      </c>
      <c r="C457" s="69">
        <f ca="1">IF(B457=hovedret,Tilmeldingsoversigt!$C$16," ")</f>
        <v>55.016393442622949</v>
      </c>
      <c r="D457" s="68" t="str">
        <f>IF(Tilmeldingsoversigt!$D$8="x",hovedret," ")</f>
        <v>Hovedret</v>
      </c>
      <c r="E457" s="69">
        <f ca="1">IF(D457=hovedret,Tilmeldingsoversigt!$C$16," ")</f>
        <v>55.016393442622949</v>
      </c>
      <c r="F457" s="68" t="str">
        <f>IF(Tilmeldingsoversigt!$E$8="x",hovedret," ")</f>
        <v>Hovedret</v>
      </c>
      <c r="G457" s="69">
        <f ca="1">IF(F457=hovedret,Tilmeldingsoversigt!$C$16," ")</f>
        <v>55.016393442622949</v>
      </c>
      <c r="H457" s="68" t="str">
        <f>IF(Tilmeldingsoversigt!$F$8="x",hovedret," ")</f>
        <v>Hovedret</v>
      </c>
      <c r="I457" s="69">
        <f ca="1">IF(H457=hovedret,Tilmeldingsoversigt!$C$16," ")</f>
        <v>55.016393442622949</v>
      </c>
      <c r="J457" s="68" t="str">
        <f>IF(Tilmeldingsoversigt!$G$8="x",hovedret," ")</f>
        <v>Hovedret</v>
      </c>
      <c r="K457" s="69">
        <f ca="1">IF(J457=hovedret,Tilmeldingsoversigt!$C$16," ")</f>
        <v>55.016393442622949</v>
      </c>
      <c r="L457" s="68" t="str">
        <f>IF(Tilmeldingsoversigt!$H$8="x",hovedret," ")</f>
        <v>Hovedret</v>
      </c>
      <c r="M457" s="69">
        <f ca="1">IF(L457=hovedret,Tilmeldingsoversigt!$C$16," ")</f>
        <v>55.016393442622949</v>
      </c>
      <c r="N457" s="68" t="str">
        <f>IF(Tilmeldingsoversigt!$I$8="x",hovedret," ")</f>
        <v>Hovedret</v>
      </c>
      <c r="O457" s="70">
        <f ca="1">IF(N457=hovedret,Tilmeldingsoversigt!$C$16," ")</f>
        <v>55.016393442622949</v>
      </c>
      <c r="P457" s="66"/>
    </row>
    <row r="458" spans="2:16" x14ac:dyDescent="0.25">
      <c r="B458" s="68" t="str">
        <f>IF(Tilmeldingsoversigt!$C$9="x",Aftensmad," ")</f>
        <v>Aftensmad</v>
      </c>
      <c r="C458" s="69">
        <f ca="1">IF(B458=Aftensmad,Tilmeldingsoversigt!$C$17," ")</f>
        <v>27.540983606557376</v>
      </c>
      <c r="D458" s="68" t="str">
        <f>IF(Tilmeldingsoversigt!$D$9="x",Aftensmad," ")</f>
        <v>Aftensmad</v>
      </c>
      <c r="E458" s="69">
        <f ca="1">IF(D458=Aftensmad,Tilmeldingsoversigt!$C$17," ")</f>
        <v>27.540983606557376</v>
      </c>
      <c r="F458" s="68" t="str">
        <f>IF(Tilmeldingsoversigt!$E$9="x",Aftensmad," ")</f>
        <v>Aftensmad</v>
      </c>
      <c r="G458" s="69">
        <f ca="1">IF(F458=Aftensmad,Tilmeldingsoversigt!$C$17," ")</f>
        <v>27.540983606557376</v>
      </c>
      <c r="H458" s="68" t="str">
        <f>IF(Tilmeldingsoversigt!$F$9="x",Aftensmad," ")</f>
        <v>Aftensmad</v>
      </c>
      <c r="I458" s="69">
        <f ca="1">IF(H458=Aftensmad,Tilmeldingsoversigt!$C$17," ")</f>
        <v>27.540983606557376</v>
      </c>
      <c r="J458" s="68" t="str">
        <f>IF(Tilmeldingsoversigt!$G$9="x",Aftensmad," ")</f>
        <v>Aftensmad</v>
      </c>
      <c r="K458" s="69">
        <f ca="1">IF(J458=Aftensmad,Tilmeldingsoversigt!$C$17," ")</f>
        <v>27.540983606557376</v>
      </c>
      <c r="L458" s="68" t="str">
        <f>IF(Tilmeldingsoversigt!$H$9="x",Aftensmad," ")</f>
        <v>Aftensmad</v>
      </c>
      <c r="M458" s="69">
        <f ca="1">IF(L458=Aftensmad,Tilmeldingsoversigt!$C$17," ")</f>
        <v>27.540983606557376</v>
      </c>
      <c r="N458" s="68" t="str">
        <f>IF(Tilmeldingsoversigt!$I$9="x",Aftensmad," ")</f>
        <v>Aftensmad</v>
      </c>
      <c r="O458" s="70">
        <f ca="1">IF(N458=Aftensmad,Tilmeldingsoversigt!$C$17," ")</f>
        <v>27.540983606557376</v>
      </c>
      <c r="P458" s="66"/>
    </row>
    <row r="459" spans="2:16" x14ac:dyDescent="0.25">
      <c r="B459" s="68" t="str">
        <f>IF(Tilmeldingsoversigt!$C$10="x",biret," ")</f>
        <v>Biret</v>
      </c>
      <c r="C459" s="69">
        <f>IF(B459=biret,biretpris," ")</f>
        <v>0</v>
      </c>
      <c r="D459" s="68" t="str">
        <f>IF(Tilmeldingsoversigt!$D$10="x",biret," ")</f>
        <v>Biret</v>
      </c>
      <c r="E459" s="69">
        <f>IF(D459=biret,biretpris," ")</f>
        <v>0</v>
      </c>
      <c r="F459" s="68" t="str">
        <f>IF(Tilmeldingsoversigt!$E$10="x",biret," ")</f>
        <v>Biret</v>
      </c>
      <c r="G459" s="69">
        <f>IF(F459=biret,biretpris," ")</f>
        <v>0</v>
      </c>
      <c r="H459" s="68" t="str">
        <f>IF(Tilmeldingsoversigt!$F$10="x",biret," ")</f>
        <v>Biret</v>
      </c>
      <c r="I459" s="69">
        <f>IF(H459=biret,biretpris," ")</f>
        <v>0</v>
      </c>
      <c r="J459" s="68" t="str">
        <f>IF(Tilmeldingsoversigt!$G$10="x",biret," ")</f>
        <v>Biret</v>
      </c>
      <c r="K459" s="70">
        <f>IF(J459=biret,biretpris," ")</f>
        <v>0</v>
      </c>
      <c r="L459" s="68" t="str">
        <f>IF(Tilmeldingsoversigt!$H$10="x",biret," ")</f>
        <v>Biret</v>
      </c>
      <c r="M459" s="69">
        <f>IF(L459=biret,biretpris," ")</f>
        <v>0</v>
      </c>
      <c r="N459" s="68" t="str">
        <f>IF(Tilmeldingsoversigt!$I$10="x",biret," ")</f>
        <v>Biret</v>
      </c>
      <c r="O459" s="70">
        <f>IF(N459=biret,biretpris," ")</f>
        <v>0</v>
      </c>
      <c r="P459" s="66"/>
    </row>
    <row r="460" spans="2:16" x14ac:dyDescent="0.25">
      <c r="B460" s="71" t="str">
        <f>IF(Tilmeldingsoversigt!$C$11="x",mellemmåltid," ")</f>
        <v xml:space="preserve"> </v>
      </c>
      <c r="C460" s="69" t="str">
        <f>IF(B460=mellemmåltid,mellemmåltidspris," ")</f>
        <v xml:space="preserve"> </v>
      </c>
      <c r="D460" s="71" t="str">
        <f>IF(Tilmeldingsoversigt!$C$11="x",mellemmåltid," ")</f>
        <v xml:space="preserve"> </v>
      </c>
      <c r="E460" s="72" t="str">
        <f>IF(D460=mellemmåltid,mellemmåltidspris," ")</f>
        <v xml:space="preserve"> </v>
      </c>
      <c r="F460" s="71" t="str">
        <f>IF(Tilmeldingsoversigt!$C$11="x",mellemmåltid," ")</f>
        <v xml:space="preserve"> </v>
      </c>
      <c r="G460" s="72" t="str">
        <f>IF(F460=mellemmåltid,mellemmåltidspris," ")</f>
        <v xml:space="preserve"> </v>
      </c>
      <c r="H460" s="71" t="str">
        <f>IF(Tilmeldingsoversigt!$C$11="x",mellemmåltid," ")</f>
        <v xml:space="preserve"> </v>
      </c>
      <c r="I460" s="72" t="str">
        <f>IF(H460=mellemmåltid,mellemmåltidspris," ")</f>
        <v xml:space="preserve"> </v>
      </c>
      <c r="J460" s="71" t="str">
        <f>IF(Tilmeldingsoversigt!$C$11="x",mellemmåltid," ")</f>
        <v xml:space="preserve"> </v>
      </c>
      <c r="K460" s="73" t="str">
        <f>IF(J460=mellemmåltid,mellemmåltidspris," ")</f>
        <v xml:space="preserve"> </v>
      </c>
      <c r="L460" s="71" t="str">
        <f>IF(Tilmeldingsoversigt!$C$11="x",mellemmåltid," ")</f>
        <v xml:space="preserve"> </v>
      </c>
      <c r="M460" s="72" t="str">
        <f>IF(L460=mellemmåltid,mellemmåltidspris," ")</f>
        <v xml:space="preserve"> </v>
      </c>
      <c r="N460" s="71" t="str">
        <f>IF(Tilmeldingsoversigt!$C$11="x",mellemmåltid," ")</f>
        <v xml:space="preserve"> </v>
      </c>
      <c r="O460" s="73" t="str">
        <f>IF(N460=mellemmåltid,mellemmåltidspris," ")</f>
        <v xml:space="preserve"> </v>
      </c>
      <c r="P460" s="66"/>
    </row>
    <row r="461" spans="2:16" x14ac:dyDescent="0.25">
      <c r="B461" s="74" t="s">
        <v>44</v>
      </c>
      <c r="C461" s="11">
        <f ca="1">SUM(C456:C460)</f>
        <v>99.311475409836063</v>
      </c>
      <c r="D461" s="74"/>
      <c r="E461" s="11">
        <f ca="1">SUM(E456:E460)</f>
        <v>99.311475409836063</v>
      </c>
      <c r="F461" s="74"/>
      <c r="G461" s="11">
        <f ca="1">SUM(G456:G460)</f>
        <v>99.311475409836063</v>
      </c>
      <c r="H461" s="74"/>
      <c r="I461" s="11">
        <f ca="1">SUM(I456:I460)</f>
        <v>99.311475409836063</v>
      </c>
      <c r="J461" s="74"/>
      <c r="K461" s="11">
        <f ca="1">SUM(K456:K460)</f>
        <v>99.311475409836063</v>
      </c>
      <c r="L461" s="74"/>
      <c r="M461" s="11">
        <f ca="1">SUM(M456:M460)</f>
        <v>99.311475409836063</v>
      </c>
      <c r="N461" s="74"/>
      <c r="O461" s="12">
        <f ca="1">SUM(O456:O460)</f>
        <v>99.311475409836063</v>
      </c>
      <c r="P461" s="75">
        <f ca="1">SUM(C461,E461,G461,I461,K461,M461,O461)</f>
        <v>695.18032786885237</v>
      </c>
    </row>
    <row r="462" spans="2:16" x14ac:dyDescent="0.2">
      <c r="B462" s="76"/>
      <c r="C462" s="77"/>
      <c r="D462" s="77"/>
      <c r="E462" s="77"/>
      <c r="F462" s="77"/>
      <c r="G462" s="77"/>
      <c r="H462" s="77"/>
      <c r="I462" s="77"/>
      <c r="J462" s="77"/>
      <c r="K462" s="77"/>
      <c r="L462" s="77"/>
      <c r="M462" s="77"/>
      <c r="N462" s="77"/>
      <c r="O462" s="77"/>
      <c r="P462" s="76"/>
    </row>
    <row r="463" spans="2:16" ht="12.75" x14ac:dyDescent="0.25">
      <c r="B463" s="78">
        <f>DAY(IF(DAY(AugSøn1)=1,AugSøn1+22,AugSøn1+29))</f>
        <v>26</v>
      </c>
      <c r="C463" s="79"/>
      <c r="D463" s="78">
        <f>DAY(IF(DAY(AugSøn1)=1,AugSøn1+23,AugSøn1+30))</f>
        <v>27</v>
      </c>
      <c r="E463" s="79"/>
      <c r="F463" s="78">
        <f>DAY(IF(DAY(AugSøn1)=1,AugSøn1+24,AugSøn1+31))</f>
        <v>28</v>
      </c>
      <c r="G463" s="79"/>
      <c r="H463" s="78">
        <f>DAY(IF(DAY(AugSøn1)=1,AugSøn1+25,AugSøn1+32))</f>
        <v>29</v>
      </c>
      <c r="I463" s="79"/>
      <c r="J463" s="78">
        <f>DAY(IF(DAY(AugSøn1)=1,AugSøn1+26,AugSøn1+33))</f>
        <v>30</v>
      </c>
      <c r="K463" s="79"/>
      <c r="L463" s="78">
        <f>DAY(IF(DAY(AugSøn1)=1,AugSøn1+27,AugSøn1+34))</f>
        <v>31</v>
      </c>
      <c r="M463" s="79"/>
      <c r="N463" s="78">
        <f>DAY(IF(DAY(AugSøn1)=1,AugSøn1+28,AugSøn1+35))</f>
        <v>1</v>
      </c>
      <c r="O463" s="79"/>
      <c r="P463" s="85"/>
    </row>
    <row r="464" spans="2:16" x14ac:dyDescent="0.25">
      <c r="B464" s="64" t="s">
        <v>42</v>
      </c>
      <c r="C464" s="81" t="s">
        <v>43</v>
      </c>
      <c r="D464" s="64" t="s">
        <v>42</v>
      </c>
      <c r="E464" s="81" t="s">
        <v>43</v>
      </c>
      <c r="F464" s="64" t="s">
        <v>42</v>
      </c>
      <c r="G464" s="81" t="s">
        <v>43</v>
      </c>
      <c r="H464" s="64" t="s">
        <v>42</v>
      </c>
      <c r="I464" s="81" t="s">
        <v>43</v>
      </c>
      <c r="J464" s="64" t="s">
        <v>42</v>
      </c>
      <c r="K464" s="81" t="s">
        <v>43</v>
      </c>
      <c r="L464" s="64" t="s">
        <v>42</v>
      </c>
      <c r="M464" s="81" t="s">
        <v>43</v>
      </c>
      <c r="N464" s="64" t="s">
        <v>42</v>
      </c>
      <c r="O464" s="82" t="s">
        <v>43</v>
      </c>
      <c r="P464" s="66"/>
    </row>
    <row r="465" spans="2:16" x14ac:dyDescent="0.25">
      <c r="B465" s="136" t="str">
        <f>IF(Tilmeldingsoversigt!$C$7="x",Morgenmad," ")</f>
        <v>Morgenmad</v>
      </c>
      <c r="C465" s="67">
        <f ca="1">IF(B465=Morgenmad,Tilmeldingsoversigt!$C$15," ")</f>
        <v>16.754098360655739</v>
      </c>
      <c r="D465" s="136" t="str">
        <f>IF(Tilmeldingsoversigt!$D$7="x",Morgenmad," ")</f>
        <v>Morgenmad</v>
      </c>
      <c r="E465" s="67">
        <f ca="1">IF(D465=Morgenmad,Tilmeldingsoversigt!$C$15," ")</f>
        <v>16.754098360655739</v>
      </c>
      <c r="F465" s="136" t="str">
        <f>IF(Tilmeldingsoversigt!$E$7="x",Morgenmad," ")</f>
        <v>Morgenmad</v>
      </c>
      <c r="G465" s="67">
        <f ca="1">IF(F465=Morgenmad,Tilmeldingsoversigt!$C$15," ")</f>
        <v>16.754098360655739</v>
      </c>
      <c r="H465" s="136"/>
      <c r="I465" s="67"/>
      <c r="J465" s="136"/>
      <c r="K465" s="67"/>
      <c r="L465" s="136"/>
      <c r="M465" s="67"/>
      <c r="N465" s="139"/>
      <c r="O465" s="86"/>
      <c r="P465" s="66"/>
    </row>
    <row r="466" spans="2:16" x14ac:dyDescent="0.25">
      <c r="B466" s="68" t="str">
        <f>IF(Tilmeldingsoversigt!$C$8="x",hovedret," ")</f>
        <v>Hovedret</v>
      </c>
      <c r="C466" s="69">
        <f ca="1">IF(B466=hovedret,Tilmeldingsoversigt!$C$16," ")</f>
        <v>55.016393442622949</v>
      </c>
      <c r="D466" s="68" t="str">
        <f>IF(Tilmeldingsoversigt!$D$8="x",hovedret," ")</f>
        <v>Hovedret</v>
      </c>
      <c r="E466" s="69">
        <f ca="1">IF(D466=hovedret,Tilmeldingsoversigt!$C$16," ")</f>
        <v>55.016393442622949</v>
      </c>
      <c r="F466" s="68" t="str">
        <f>IF(Tilmeldingsoversigt!$E$8="x",hovedret," ")</f>
        <v>Hovedret</v>
      </c>
      <c r="G466" s="69">
        <f ca="1">IF(F466=hovedret,Tilmeldingsoversigt!$C$16," ")</f>
        <v>55.016393442622949</v>
      </c>
      <c r="H466" s="68"/>
      <c r="I466" s="69"/>
      <c r="J466" s="68"/>
      <c r="K466" s="69"/>
      <c r="L466" s="68"/>
      <c r="M466" s="69"/>
      <c r="N466" s="87"/>
      <c r="O466" s="88"/>
      <c r="P466" s="66"/>
    </row>
    <row r="467" spans="2:16" x14ac:dyDescent="0.25">
      <c r="B467" s="68" t="str">
        <f>IF(Tilmeldingsoversigt!$C$9="x",Aftensmad," ")</f>
        <v>Aftensmad</v>
      </c>
      <c r="C467" s="69">
        <f ca="1">IF(B467=Aftensmad,Tilmeldingsoversigt!$C$17," ")</f>
        <v>27.540983606557376</v>
      </c>
      <c r="D467" s="68" t="str">
        <f>IF(Tilmeldingsoversigt!$D$9="x",Aftensmad," ")</f>
        <v>Aftensmad</v>
      </c>
      <c r="E467" s="69">
        <f ca="1">IF(D467=Aftensmad,Tilmeldingsoversigt!$C$17," ")</f>
        <v>27.540983606557376</v>
      </c>
      <c r="F467" s="68" t="str">
        <f>IF(Tilmeldingsoversigt!$E$9="x",Aftensmad," ")</f>
        <v>Aftensmad</v>
      </c>
      <c r="G467" s="69">
        <f ca="1">IF(F467=Aftensmad,Tilmeldingsoversigt!$C$17," ")</f>
        <v>27.540983606557376</v>
      </c>
      <c r="H467" s="68"/>
      <c r="I467" s="69"/>
      <c r="J467" s="68"/>
      <c r="K467" s="69"/>
      <c r="L467" s="68"/>
      <c r="M467" s="69"/>
      <c r="N467" s="87"/>
      <c r="O467" s="88"/>
      <c r="P467" s="66"/>
    </row>
    <row r="468" spans="2:16" x14ac:dyDescent="0.25">
      <c r="B468" s="68" t="str">
        <f>IF(Tilmeldingsoversigt!$C$10="x",biret," ")</f>
        <v>Biret</v>
      </c>
      <c r="C468" s="69">
        <f>IF(B468=biret,biretpris," ")</f>
        <v>0</v>
      </c>
      <c r="D468" s="68" t="str">
        <f>IF(Tilmeldingsoversigt!$D$10="x",biret," ")</f>
        <v>Biret</v>
      </c>
      <c r="E468" s="69">
        <f>IF(D468=biret,biretpris," ")</f>
        <v>0</v>
      </c>
      <c r="F468" s="68" t="str">
        <f>IF(Tilmeldingsoversigt!$E$10="x",biret," ")</f>
        <v>Biret</v>
      </c>
      <c r="G468" s="69">
        <f>IF(F468=biret,biretpris," ")</f>
        <v>0</v>
      </c>
      <c r="H468" s="68"/>
      <c r="I468" s="69"/>
      <c r="J468" s="68"/>
      <c r="K468" s="70"/>
      <c r="L468" s="68"/>
      <c r="M468" s="69"/>
      <c r="N468" s="68"/>
      <c r="O468" s="70"/>
      <c r="P468" s="66"/>
    </row>
    <row r="469" spans="2:16" x14ac:dyDescent="0.25">
      <c r="B469" s="71" t="str">
        <f>IF(Tilmeldingsoversigt!$C$11="x",mellemmåltid," ")</f>
        <v xml:space="preserve"> </v>
      </c>
      <c r="C469" s="69" t="str">
        <f>IF(B469=mellemmåltid,mellemmåltidspris," ")</f>
        <v xml:space="preserve"> </v>
      </c>
      <c r="D469" s="71" t="str">
        <f>IF(Tilmeldingsoversigt!$C$11="x",mellemmåltid," ")</f>
        <v xml:space="preserve"> </v>
      </c>
      <c r="E469" s="72" t="str">
        <f>IF(D469=mellemmåltid,mellemmåltidspris," ")</f>
        <v xml:space="preserve"> </v>
      </c>
      <c r="F469" s="71" t="str">
        <f>IF(Tilmeldingsoversigt!$C$11="x",mellemmåltid," ")</f>
        <v xml:space="preserve"> </v>
      </c>
      <c r="G469" s="72" t="str">
        <f>IF(F469=mellemmåltid,mellemmåltidspris," ")</f>
        <v xml:space="preserve"> </v>
      </c>
      <c r="H469" s="71"/>
      <c r="I469" s="72"/>
      <c r="J469" s="71"/>
      <c r="K469" s="73"/>
      <c r="L469" s="71"/>
      <c r="M469" s="72"/>
      <c r="N469" s="71"/>
      <c r="O469" s="73"/>
      <c r="P469" s="66"/>
    </row>
    <row r="470" spans="2:16" x14ac:dyDescent="0.25">
      <c r="B470" s="74" t="s">
        <v>44</v>
      </c>
      <c r="C470" s="11">
        <f ca="1">SUM(C465:C469)</f>
        <v>99.311475409836063</v>
      </c>
      <c r="D470" s="74"/>
      <c r="E470" s="11">
        <f ca="1">SUM(E465:E469)</f>
        <v>99.311475409836063</v>
      </c>
      <c r="F470" s="74"/>
      <c r="G470" s="11">
        <f ca="1">SUM(G465:G469)</f>
        <v>99.311475409836063</v>
      </c>
      <c r="H470" s="74"/>
      <c r="I470" s="11">
        <f>SUM(I465:I469)</f>
        <v>0</v>
      </c>
      <c r="J470" s="74"/>
      <c r="K470" s="11">
        <f>SUM(K465:K469)</f>
        <v>0</v>
      </c>
      <c r="L470" s="74"/>
      <c r="M470" s="11">
        <f>SUM(M465:M469)</f>
        <v>0</v>
      </c>
      <c r="N470" s="74"/>
      <c r="O470" s="12">
        <f>SUM(O465:O469)</f>
        <v>0</v>
      </c>
      <c r="P470" s="75">
        <f ca="1">SUMIF(B463:N463,"&gt;="&amp;15,C470:O470)</f>
        <v>297.93442622950818</v>
      </c>
    </row>
    <row r="471" spans="2:16" x14ac:dyDescent="0.2">
      <c r="B471" s="76"/>
      <c r="C471" s="77"/>
      <c r="D471" s="77"/>
      <c r="E471" s="77"/>
      <c r="F471" s="77"/>
      <c r="G471" s="77"/>
      <c r="H471" s="77"/>
      <c r="I471" s="77"/>
      <c r="J471" s="77"/>
      <c r="K471" s="77"/>
      <c r="L471" s="77"/>
      <c r="M471" s="77"/>
      <c r="N471" s="77"/>
      <c r="O471" s="77"/>
      <c r="P471" s="76"/>
    </row>
    <row r="472" spans="2:16" ht="12.75" x14ac:dyDescent="0.25">
      <c r="B472" s="78">
        <f>DAY(IF(DAY(AugSøn1)=1,AugSøn1+29,AugSøn1+36))</f>
        <v>2</v>
      </c>
      <c r="C472" s="91"/>
      <c r="D472" s="78">
        <f>DAY(IF(DAY(AugSøn1)=1,AugSøn1+30,AugSøn1+37))</f>
        <v>3</v>
      </c>
      <c r="E472" s="79"/>
      <c r="F472" s="92">
        <f>DAY(IF(DAY(AugSøn1)=1,AugSøn1+31,AugSøn1+38))</f>
        <v>4</v>
      </c>
      <c r="G472" s="79"/>
      <c r="H472" s="78">
        <f>DAY(IF(DAY(AugSøn1)=1,AugSøn1+32,AugSøn1+39))</f>
        <v>5</v>
      </c>
      <c r="I472" s="79"/>
      <c r="J472" s="78">
        <f>DAY(IF(DAY(AugSøn1)=1,AugSøn1+33,AugSøn1+40))</f>
        <v>6</v>
      </c>
      <c r="K472" s="79"/>
      <c r="L472" s="78">
        <f>DAY(IF(DAY(AugSøn1)=1,AugSøn1+34,AugSøn1+41))</f>
        <v>7</v>
      </c>
      <c r="M472" s="79"/>
      <c r="N472" s="78">
        <f>DAY(IF(DAY(AugSøn1)=1,AugSøn1+35,AugSøn1+42))</f>
        <v>8</v>
      </c>
      <c r="O472" s="79"/>
      <c r="P472" s="85"/>
    </row>
    <row r="473" spans="2:16" x14ac:dyDescent="0.25">
      <c r="B473" s="64" t="s">
        <v>42</v>
      </c>
      <c r="C473" s="81" t="s">
        <v>43</v>
      </c>
      <c r="D473" s="64" t="s">
        <v>42</v>
      </c>
      <c r="E473" s="81" t="s">
        <v>43</v>
      </c>
      <c r="F473" s="64" t="s">
        <v>42</v>
      </c>
      <c r="G473" s="81" t="s">
        <v>43</v>
      </c>
      <c r="H473" s="64" t="s">
        <v>42</v>
      </c>
      <c r="I473" s="81" t="s">
        <v>43</v>
      </c>
      <c r="J473" s="64" t="s">
        <v>42</v>
      </c>
      <c r="K473" s="81" t="s">
        <v>43</v>
      </c>
      <c r="L473" s="64" t="s">
        <v>42</v>
      </c>
      <c r="M473" s="81" t="s">
        <v>43</v>
      </c>
      <c r="N473" s="64" t="s">
        <v>42</v>
      </c>
      <c r="O473" s="82" t="s">
        <v>43</v>
      </c>
      <c r="P473" s="66"/>
    </row>
    <row r="474" spans="2:16" x14ac:dyDescent="0.25">
      <c r="B474" s="136"/>
      <c r="C474" s="67"/>
      <c r="D474" s="136"/>
      <c r="E474" s="67"/>
      <c r="F474" s="136"/>
      <c r="G474" s="67"/>
      <c r="H474" s="136"/>
      <c r="I474" s="67"/>
      <c r="J474" s="136"/>
      <c r="K474" s="67"/>
      <c r="L474" s="136"/>
      <c r="M474" s="67"/>
      <c r="N474" s="136"/>
      <c r="O474" s="83"/>
      <c r="P474" s="66"/>
    </row>
    <row r="475" spans="2:16" x14ac:dyDescent="0.25">
      <c r="B475" s="68"/>
      <c r="C475" s="69"/>
      <c r="D475" s="68"/>
      <c r="E475" s="69"/>
      <c r="F475" s="68"/>
      <c r="G475" s="69"/>
      <c r="H475" s="68"/>
      <c r="I475" s="69"/>
      <c r="J475" s="68"/>
      <c r="K475" s="69"/>
      <c r="L475" s="68"/>
      <c r="M475" s="69"/>
      <c r="N475" s="68"/>
      <c r="O475" s="70"/>
      <c r="P475" s="66"/>
    </row>
    <row r="476" spans="2:16" x14ac:dyDescent="0.25">
      <c r="B476" s="68"/>
      <c r="C476" s="69"/>
      <c r="D476" s="68"/>
      <c r="E476" s="69"/>
      <c r="F476" s="68"/>
      <c r="G476" s="69"/>
      <c r="H476" s="68"/>
      <c r="I476" s="69"/>
      <c r="J476" s="68"/>
      <c r="K476" s="69"/>
      <c r="L476" s="68"/>
      <c r="M476" s="69"/>
      <c r="N476" s="68"/>
      <c r="O476" s="70"/>
      <c r="P476" s="66"/>
    </row>
    <row r="477" spans="2:16" x14ac:dyDescent="0.25">
      <c r="B477" s="68"/>
      <c r="C477" s="69"/>
      <c r="D477" s="68"/>
      <c r="E477" s="69"/>
      <c r="F477" s="68"/>
      <c r="G477" s="69"/>
      <c r="H477" s="68"/>
      <c r="I477" s="69"/>
      <c r="J477" s="68"/>
      <c r="K477" s="69"/>
      <c r="L477" s="68"/>
      <c r="M477" s="69"/>
      <c r="N477" s="68"/>
      <c r="O477" s="70"/>
      <c r="P477" s="66"/>
    </row>
    <row r="478" spans="2:16" x14ac:dyDescent="0.25">
      <c r="B478" s="71"/>
      <c r="C478" s="69"/>
      <c r="D478" s="71"/>
      <c r="E478" s="72"/>
      <c r="F478" s="71"/>
      <c r="G478" s="72"/>
      <c r="H478" s="71"/>
      <c r="I478" s="72"/>
      <c r="J478" s="71"/>
      <c r="K478" s="72"/>
      <c r="L478" s="71"/>
      <c r="M478" s="72"/>
      <c r="N478" s="71"/>
      <c r="O478" s="73"/>
      <c r="P478" s="66"/>
    </row>
    <row r="479" spans="2:16" x14ac:dyDescent="0.25">
      <c r="B479" s="74" t="s">
        <v>44</v>
      </c>
      <c r="C479" s="11">
        <f>SUM(C474:C478)</f>
        <v>0</v>
      </c>
      <c r="D479" s="74"/>
      <c r="E479" s="11">
        <f>SUM(E474:E478)</f>
        <v>0</v>
      </c>
      <c r="F479" s="74"/>
      <c r="G479" s="11">
        <f>SUM(G474:G478)</f>
        <v>0</v>
      </c>
      <c r="H479" s="74"/>
      <c r="I479" s="11">
        <f>SUM(I474:I478)</f>
        <v>0</v>
      </c>
      <c r="J479" s="74"/>
      <c r="K479" s="11">
        <f>SUM(K474:K478)</f>
        <v>0</v>
      </c>
      <c r="L479" s="74"/>
      <c r="M479" s="11">
        <f>SUM(M474:M478)</f>
        <v>0</v>
      </c>
      <c r="N479" s="74"/>
      <c r="O479" s="12">
        <f>SUM(O474:O478)</f>
        <v>0</v>
      </c>
      <c r="P479" s="75">
        <f>SUMIF(B472:N472,"&gt;="&amp;15,C479:O479)</f>
        <v>0</v>
      </c>
    </row>
    <row r="480" spans="2:16" ht="17.25" customHeight="1" x14ac:dyDescent="0.2"/>
    <row r="481" spans="2:16" ht="12" x14ac:dyDescent="0.2">
      <c r="B481" s="246" t="s">
        <v>52</v>
      </c>
      <c r="C481" s="246"/>
      <c r="D481" s="246"/>
      <c r="E481" s="246"/>
      <c r="F481" s="49"/>
      <c r="G481" s="132">
        <f ca="1">Tilmeldingsoversigt!$E$15-(30-'Tilmeldte måltider'!G482)*Morgenpris</f>
        <v>511</v>
      </c>
      <c r="H481" s="49"/>
      <c r="I481" s="132">
        <f ca="1">Tilmeldingsoversigt!$E$16-(30-'Tilmeldte måltider'!I482)*Frokostpris</f>
        <v>1678</v>
      </c>
      <c r="J481" s="49"/>
      <c r="K481" s="132">
        <f ca="1">Tilmeldingsoversigt!$E$17-(30-'Tilmeldte måltider'!K482)*Aftenpris</f>
        <v>840</v>
      </c>
      <c r="L481" s="247" t="s">
        <v>32</v>
      </c>
      <c r="M481" s="247"/>
      <c r="N481" s="247" t="s">
        <v>33</v>
      </c>
      <c r="O481" s="247"/>
      <c r="P481" s="49"/>
    </row>
    <row r="482" spans="2:16" ht="25.5" customHeight="1" x14ac:dyDescent="0.25">
      <c r="B482" s="246"/>
      <c r="C482" s="246"/>
      <c r="D482" s="246"/>
      <c r="E482" s="246"/>
      <c r="F482" s="97" t="str">
        <f>Morgenmad</f>
        <v>Morgenmad</v>
      </c>
      <c r="G482" s="97">
        <f ca="1">IF(L483=FALSE,0,(COUNTIF(B488:O529,Morgenmad)))</f>
        <v>30</v>
      </c>
      <c r="H482" s="97" t="str">
        <f>hovedret</f>
        <v>Hovedret</v>
      </c>
      <c r="I482" s="97">
        <f ca="1">IF(L483=FALSE,0,(COUNTIF(B488:O529,hovedret)))</f>
        <v>30</v>
      </c>
      <c r="J482" s="97" t="str">
        <f>Aftensmad</f>
        <v>Aftensmad</v>
      </c>
      <c r="K482" s="97">
        <f ca="1">IF(L483=FALSE,0,(COUNTIF(B489:O530,Aftensmad)))</f>
        <v>30</v>
      </c>
      <c r="L482" s="248">
        <f ca="1">IF(september_sum=0,0,månedligtotal)</f>
        <v>3000</v>
      </c>
      <c r="M482" s="249"/>
      <c r="N482" s="248">
        <f ca="1">hovedtotal</f>
        <v>36000.409836065577</v>
      </c>
      <c r="O482" s="250"/>
      <c r="P482" s="49"/>
    </row>
    <row r="483" spans="2:16" ht="25.5" customHeight="1" x14ac:dyDescent="0.45">
      <c r="B483" s="121"/>
      <c r="C483" s="121"/>
      <c r="D483" s="121"/>
      <c r="E483" s="121"/>
      <c r="F483" s="98" t="str">
        <f>biret</f>
        <v>Biret</v>
      </c>
      <c r="G483" s="97">
        <f ca="1">IF(september_sum=0,0,(COUNTIF($B$488:$O$537,biret)))</f>
        <v>30</v>
      </c>
      <c r="H483" s="98" t="str">
        <f>mellemmåltid</f>
        <v>Mellemmåltid</v>
      </c>
      <c r="I483" s="97">
        <f ca="1">IF(september_sum=0,0,(COUNTIF($B$488:$O$537,mellemmåltid)))</f>
        <v>0</v>
      </c>
      <c r="J483" s="98"/>
      <c r="K483" s="98"/>
      <c r="L483" s="243" t="b">
        <f>IF(AND(L484,N484)=TRUE,TRUE,FALSE)</f>
        <v>1</v>
      </c>
      <c r="M483" s="244"/>
      <c r="N483" s="137">
        <f ca="1">G481+I481+K481</f>
        <v>3029</v>
      </c>
      <c r="O483" s="137"/>
      <c r="P483" s="49"/>
    </row>
    <row r="484" spans="2:16" ht="25.5" hidden="1" customHeight="1" x14ac:dyDescent="0.45">
      <c r="B484" s="121"/>
      <c r="C484" s="121"/>
      <c r="D484" s="121"/>
      <c r="E484" s="121"/>
      <c r="F484" s="138"/>
      <c r="G484" s="138"/>
      <c r="H484" s="138"/>
      <c r="I484" s="138"/>
      <c r="J484" s="138"/>
      <c r="K484" s="138"/>
      <c r="L484" s="242" t="b">
        <f>IF(OR(VLOOKUP(start_måned,Dataark!$C$5:$D$16,2,FALSE)&lt;=9,$L$424=TRUE),TRUE,FALSE)</f>
        <v>1</v>
      </c>
      <c r="M484" s="242"/>
      <c r="N484" s="242" t="b">
        <f>IF(AND(VLOOKUP(slut_måned,Dataark!$C$5:$D$16,2,FALSE)&gt;=9,L484=TRUE),TRUE,FALSE)</f>
        <v>1</v>
      </c>
      <c r="O484" s="242"/>
      <c r="P484" s="49"/>
    </row>
    <row r="485" spans="2:16" ht="9" customHeight="1" x14ac:dyDescent="0.2">
      <c r="B485" s="251">
        <v>1</v>
      </c>
      <c r="C485" s="251"/>
      <c r="D485" s="251">
        <v>2</v>
      </c>
      <c r="E485" s="251"/>
      <c r="F485" s="251">
        <v>3</v>
      </c>
      <c r="G485" s="251"/>
      <c r="H485" s="251">
        <v>4</v>
      </c>
      <c r="I485" s="251"/>
      <c r="J485" s="251">
        <v>5</v>
      </c>
      <c r="K485" s="251"/>
      <c r="L485" s="251">
        <v>6</v>
      </c>
      <c r="M485" s="251"/>
      <c r="N485" s="251">
        <v>7</v>
      </c>
      <c r="O485" s="251"/>
      <c r="P485" s="135">
        <f ca="1">IF(L483=TRUE,(N483),0)</f>
        <v>3029</v>
      </c>
    </row>
    <row r="486" spans="2:16" ht="15" customHeight="1" x14ac:dyDescent="0.25">
      <c r="B486" s="252" t="s">
        <v>34</v>
      </c>
      <c r="C486" s="253"/>
      <c r="D486" s="254" t="s">
        <v>35</v>
      </c>
      <c r="E486" s="255" t="e">
        <f>IF(WEEKDAY(DATEVALUE(Month1&amp;" 1, "&amp;Year1))=COLUMN(#REF!),1,IF(LEN(C486)&gt;0,C486+1,""))</f>
        <v>#NAME?</v>
      </c>
      <c r="F486" s="253" t="s">
        <v>36</v>
      </c>
      <c r="G486" s="253" t="e">
        <f>IF(WEEKDAY(DATEVALUE(Month1&amp;" 1, "&amp;Year1))=COLUMN(#REF!),1,IF(LEN(E486)&gt;0,E486+1,""))</f>
        <v>#NAME?</v>
      </c>
      <c r="H486" s="254" t="s">
        <v>37</v>
      </c>
      <c r="I486" s="255" t="e">
        <f>IF(WEEKDAY(DATEVALUE(Month1&amp;" 1, "&amp;Year1))=COLUMN(#REF!),1,IF(LEN(G486)&gt;0,G486+1,""))</f>
        <v>#NAME?</v>
      </c>
      <c r="J486" s="256" t="s">
        <v>38</v>
      </c>
      <c r="K486" s="257" t="e">
        <f>IF(WEEKDAY(DATEVALUE(Month1&amp;" 1, "&amp;Year1))=COLUMN(#REF!),1,IF(LEN(I486)&gt;0,I486+1,""))</f>
        <v>#NAME?</v>
      </c>
      <c r="L486" s="258" t="s">
        <v>39</v>
      </c>
      <c r="M486" s="259" t="e">
        <f>IF(WEEKDAY(DATEVALUE(Month1&amp;" 1, "&amp;Year1))=COLUMN(#REF!),1,IF(LEN(K486)&gt;0,K486+1,""))</f>
        <v>#NAME?</v>
      </c>
      <c r="N486" s="258" t="s">
        <v>40</v>
      </c>
      <c r="O486" s="259" t="e">
        <f>IF(WEEKDAY(DATEVALUE(Month1&amp;" 1, "&amp;Year1))=COLUMN(#REF!),1,IF(LEN(M486)&gt;0,M486+1,""))</f>
        <v>#NAME?</v>
      </c>
      <c r="P486" s="53" t="s">
        <v>41</v>
      </c>
    </row>
    <row r="487" spans="2:16" ht="12.75" x14ac:dyDescent="0.25">
      <c r="B487" s="55">
        <f>DAY(IF(DAY(SepSøn1)=1,SepSøn1-6,SepSøn1+1))</f>
        <v>26</v>
      </c>
      <c r="C487" s="56"/>
      <c r="D487" s="57">
        <f>DAY(IF(DAY(SepSøn1)=1,SepSøn1-5,SepSøn1+2))</f>
        <v>27</v>
      </c>
      <c r="E487" s="56"/>
      <c r="F487" s="57">
        <f>DAY(IF(DAY(SepSøn1)=1,SepSøn1-4,SepSøn1+3))</f>
        <v>28</v>
      </c>
      <c r="G487" s="56"/>
      <c r="H487" s="57">
        <f>DAY(IF(DAY(SepSøn1)=1,SepSøn1-3,SepSøn1+4))</f>
        <v>29</v>
      </c>
      <c r="I487" s="56"/>
      <c r="J487" s="57">
        <f>DAY(IF(DAY(SepSøn1)=1,SepSøn1-2,SepSøn1+5))</f>
        <v>30</v>
      </c>
      <c r="K487" s="56"/>
      <c r="L487" s="57">
        <f>DAY(IF(DAY(SepSøn1)=1,SepSøn1-1,SepSøn1+6))</f>
        <v>31</v>
      </c>
      <c r="M487" s="56"/>
      <c r="N487" s="58">
        <f>DAY(IF(DAY(SepSøn1)=1,SepSøn1,SepSøn1+7))</f>
        <v>1</v>
      </c>
      <c r="O487" s="59"/>
      <c r="P487" s="60"/>
    </row>
    <row r="488" spans="2:16" x14ac:dyDescent="0.25">
      <c r="B488" s="61" t="s">
        <v>42</v>
      </c>
      <c r="C488" s="62" t="s">
        <v>43</v>
      </c>
      <c r="D488" s="63" t="s">
        <v>42</v>
      </c>
      <c r="E488" s="62" t="s">
        <v>43</v>
      </c>
      <c r="F488" s="63" t="s">
        <v>42</v>
      </c>
      <c r="G488" s="62" t="s">
        <v>43</v>
      </c>
      <c r="H488" s="63" t="s">
        <v>42</v>
      </c>
      <c r="I488" s="62" t="s">
        <v>43</v>
      </c>
      <c r="J488" s="63" t="s">
        <v>42</v>
      </c>
      <c r="K488" s="62" t="s">
        <v>43</v>
      </c>
      <c r="L488" s="63" t="s">
        <v>42</v>
      </c>
      <c r="M488" s="62" t="s">
        <v>43</v>
      </c>
      <c r="N488" s="64" t="s">
        <v>42</v>
      </c>
      <c r="O488" s="65" t="s">
        <v>43</v>
      </c>
      <c r="P488" s="66"/>
    </row>
    <row r="489" spans="2:16" x14ac:dyDescent="0.25">
      <c r="B489" s="136"/>
      <c r="C489" s="67"/>
      <c r="D489" s="136"/>
      <c r="E489" s="67"/>
      <c r="F489" s="136"/>
      <c r="G489" s="67"/>
      <c r="H489" s="136" t="str">
        <f>IF(Tilmeldingsoversigt!$F$7="x",Morgenmad," ")</f>
        <v>Morgenmad</v>
      </c>
      <c r="I489" s="67">
        <f ca="1">IF(H489=Morgenmad,Tilmeldingsoversigt!$C$15," ")</f>
        <v>16.754098360655739</v>
      </c>
      <c r="J489" s="136" t="str">
        <f>IF(Tilmeldingsoversigt!$G$7="x",Morgenmad," ")</f>
        <v>Morgenmad</v>
      </c>
      <c r="K489" s="67">
        <f ca="1">IF(J489=Morgenmad,Tilmeldingsoversigt!$C$15," ")</f>
        <v>16.754098360655739</v>
      </c>
      <c r="L489" s="136" t="str">
        <f>IF(Tilmeldingsoversigt!$H$7="x",Morgenmad," ")</f>
        <v>Morgenmad</v>
      </c>
      <c r="M489" s="67">
        <f ca="1">IF(L489=Morgenmad,Tilmeldingsoversigt!$C$15," ")</f>
        <v>16.754098360655739</v>
      </c>
      <c r="N489" s="136" t="str">
        <f>IF(Tilmeldingsoversigt!$I$7="x",Morgenmad," ")</f>
        <v>Morgenmad</v>
      </c>
      <c r="O489" s="83">
        <f ca="1">IF(N489=Morgenmad,Tilmeldingsoversigt!$C$15," ")</f>
        <v>16.754098360655739</v>
      </c>
      <c r="P489" s="66"/>
    </row>
    <row r="490" spans="2:16" x14ac:dyDescent="0.25">
      <c r="B490" s="68"/>
      <c r="C490" s="69"/>
      <c r="D490" s="68"/>
      <c r="E490" s="69"/>
      <c r="F490" s="68"/>
      <c r="G490" s="69"/>
      <c r="H490" s="68" t="str">
        <f>IF(Tilmeldingsoversigt!$F$8="x",hovedret," ")</f>
        <v>Hovedret</v>
      </c>
      <c r="I490" s="69">
        <f ca="1">IF(H490=hovedret,Tilmeldingsoversigt!$C$16," ")</f>
        <v>55.016393442622949</v>
      </c>
      <c r="J490" s="68" t="str">
        <f>IF(Tilmeldingsoversigt!$G$8="x",hovedret," ")</f>
        <v>Hovedret</v>
      </c>
      <c r="K490" s="69">
        <f ca="1">IF(J490=hovedret,Tilmeldingsoversigt!$C$16," ")</f>
        <v>55.016393442622949</v>
      </c>
      <c r="L490" s="68" t="str">
        <f>IF(Tilmeldingsoversigt!$H$8="x",hovedret," ")</f>
        <v>Hovedret</v>
      </c>
      <c r="M490" s="69">
        <f ca="1">IF(L490=hovedret,Tilmeldingsoversigt!$C$16," ")</f>
        <v>55.016393442622949</v>
      </c>
      <c r="N490" s="68" t="str">
        <f>IF(Tilmeldingsoversigt!$I$8="x",hovedret," ")</f>
        <v>Hovedret</v>
      </c>
      <c r="O490" s="70">
        <f ca="1">IF(N490=hovedret,Tilmeldingsoversigt!$C$16," ")</f>
        <v>55.016393442622949</v>
      </c>
      <c r="P490" s="66"/>
    </row>
    <row r="491" spans="2:16" x14ac:dyDescent="0.25">
      <c r="B491" s="68"/>
      <c r="C491" s="69"/>
      <c r="D491" s="68"/>
      <c r="E491" s="69"/>
      <c r="F491" s="68"/>
      <c r="G491" s="69"/>
      <c r="H491" s="68" t="str">
        <f>IF(Tilmeldingsoversigt!$F$9="x",Aftensmad," ")</f>
        <v>Aftensmad</v>
      </c>
      <c r="I491" s="69">
        <f ca="1">IF(H491=Aftensmad,Tilmeldingsoversigt!$C$17," ")</f>
        <v>27.540983606557376</v>
      </c>
      <c r="J491" s="68" t="str">
        <f>IF(Tilmeldingsoversigt!$G$9="x",Aftensmad," ")</f>
        <v>Aftensmad</v>
      </c>
      <c r="K491" s="69">
        <f ca="1">IF(J491=Aftensmad,Tilmeldingsoversigt!$C$17," ")</f>
        <v>27.540983606557376</v>
      </c>
      <c r="L491" s="68" t="str">
        <f>IF(Tilmeldingsoversigt!$H$9="x",Aftensmad," ")</f>
        <v>Aftensmad</v>
      </c>
      <c r="M491" s="69">
        <f ca="1">IF(L491=Aftensmad,Tilmeldingsoversigt!$C$17," ")</f>
        <v>27.540983606557376</v>
      </c>
      <c r="N491" s="68" t="str">
        <f>IF(Tilmeldingsoversigt!$I$9="x",Aftensmad," ")</f>
        <v>Aftensmad</v>
      </c>
      <c r="O491" s="70">
        <f ca="1">IF(N491=Aftensmad,Tilmeldingsoversigt!$C$17," ")</f>
        <v>27.540983606557376</v>
      </c>
      <c r="P491" s="66"/>
    </row>
    <row r="492" spans="2:16" x14ac:dyDescent="0.25">
      <c r="B492" s="68"/>
      <c r="C492" s="69"/>
      <c r="D492" s="68"/>
      <c r="E492" s="69"/>
      <c r="F492" s="68"/>
      <c r="G492" s="69"/>
      <c r="H492" s="68" t="str">
        <f>IF(Tilmeldingsoversigt!$F$10="x",biret," ")</f>
        <v>Biret</v>
      </c>
      <c r="I492" s="69">
        <f>IF(H492=biret,biretpris," ")</f>
        <v>0</v>
      </c>
      <c r="J492" s="68" t="str">
        <f>IF(Tilmeldingsoversigt!$G$10="x",biret," ")</f>
        <v>Biret</v>
      </c>
      <c r="K492" s="70">
        <f>IF(J492=biret,biretpris," ")</f>
        <v>0</v>
      </c>
      <c r="L492" s="68" t="str">
        <f>IF(Tilmeldingsoversigt!$H$10="x",biret," ")</f>
        <v>Biret</v>
      </c>
      <c r="M492" s="69">
        <f>IF(L492=biret,biretpris," ")</f>
        <v>0</v>
      </c>
      <c r="N492" s="68" t="str">
        <f>IF(Tilmeldingsoversigt!$I$10="x",biret," ")</f>
        <v>Biret</v>
      </c>
      <c r="O492" s="70">
        <f>IF(N492=biret,biretpris," ")</f>
        <v>0</v>
      </c>
      <c r="P492" s="66"/>
    </row>
    <row r="493" spans="2:16" x14ac:dyDescent="0.25">
      <c r="B493" s="71"/>
      <c r="C493" s="72"/>
      <c r="D493" s="71"/>
      <c r="E493" s="72"/>
      <c r="F493" s="71"/>
      <c r="G493" s="72"/>
      <c r="H493" s="71" t="str">
        <f>IF(Tilmeldingsoversigt!$C$11="x",mellemmåltid," ")</f>
        <v xml:space="preserve"> </v>
      </c>
      <c r="I493" s="72" t="str">
        <f>IF(H493=mellemmåltid,mellemmåltidspris," ")</f>
        <v xml:space="preserve"> </v>
      </c>
      <c r="J493" s="71" t="str">
        <f>IF(Tilmeldingsoversigt!$C$11="x",mellemmåltid," ")</f>
        <v xml:space="preserve"> </v>
      </c>
      <c r="K493" s="73" t="str">
        <f>IF(J493=mellemmåltid,mellemmåltidspris," ")</f>
        <v xml:space="preserve"> </v>
      </c>
      <c r="L493" s="71" t="str">
        <f>IF(Tilmeldingsoversigt!$C$11="x",mellemmåltid," ")</f>
        <v xml:space="preserve"> </v>
      </c>
      <c r="M493" s="72" t="str">
        <f>IF(L493=mellemmåltid,mellemmåltidspris," ")</f>
        <v xml:space="preserve"> </v>
      </c>
      <c r="N493" s="71" t="str">
        <f>IF(Tilmeldingsoversigt!$C$11="x",mellemmåltid," ")</f>
        <v xml:space="preserve"> </v>
      </c>
      <c r="O493" s="73" t="str">
        <f>IF(N493=mellemmåltid,mellemmåltidspris," ")</f>
        <v xml:space="preserve"> </v>
      </c>
      <c r="P493" s="66"/>
    </row>
    <row r="494" spans="2:16" x14ac:dyDescent="0.25">
      <c r="B494" s="74" t="s">
        <v>44</v>
      </c>
      <c r="C494" s="11">
        <f>SUM(C489:C493)</f>
        <v>0</v>
      </c>
      <c r="D494" s="74"/>
      <c r="E494" s="11">
        <f>SUM(E489:E493)</f>
        <v>0</v>
      </c>
      <c r="F494" s="74"/>
      <c r="G494" s="11">
        <f>SUM(G489:G493)</f>
        <v>0</v>
      </c>
      <c r="H494" s="74"/>
      <c r="I494" s="11">
        <f ca="1">SUM(I489:I493)</f>
        <v>99.311475409836063</v>
      </c>
      <c r="J494" s="74"/>
      <c r="K494" s="11">
        <f ca="1">SUM(K489:K493)</f>
        <v>99.311475409836063</v>
      </c>
      <c r="L494" s="74"/>
      <c r="M494" s="11">
        <f ca="1">SUM(M489:M493)</f>
        <v>99.311475409836063</v>
      </c>
      <c r="N494" s="74"/>
      <c r="O494" s="12">
        <f ca="1">SUM(O489:O493)</f>
        <v>99.311475409836063</v>
      </c>
      <c r="P494" s="75">
        <f ca="1">SUMIF(B487:N487,"&lt;8",C494:O494)</f>
        <v>99.311475409836063</v>
      </c>
    </row>
    <row r="495" spans="2:16" x14ac:dyDescent="0.2">
      <c r="B495" s="76"/>
      <c r="C495" s="77"/>
      <c r="D495" s="77"/>
      <c r="E495" s="77"/>
      <c r="F495" s="77"/>
      <c r="G495" s="77"/>
      <c r="H495" s="77"/>
      <c r="I495" s="77"/>
      <c r="J495" s="77"/>
      <c r="K495" s="77"/>
      <c r="L495" s="77"/>
      <c r="M495" s="77"/>
      <c r="N495" s="77"/>
      <c r="O495" s="77"/>
      <c r="P495" s="76"/>
    </row>
    <row r="496" spans="2:16" ht="12.75" x14ac:dyDescent="0.25">
      <c r="B496" s="78">
        <f>N487+1</f>
        <v>2</v>
      </c>
      <c r="C496" s="79"/>
      <c r="D496" s="78">
        <f>B496+1</f>
        <v>3</v>
      </c>
      <c r="E496" s="79"/>
      <c r="F496" s="78">
        <f>D496+1</f>
        <v>4</v>
      </c>
      <c r="G496" s="79"/>
      <c r="H496" s="78">
        <f>F496+1</f>
        <v>5</v>
      </c>
      <c r="I496" s="79"/>
      <c r="J496" s="78">
        <f>H496+1</f>
        <v>6</v>
      </c>
      <c r="K496" s="79"/>
      <c r="L496" s="78">
        <f>J496+1</f>
        <v>7</v>
      </c>
      <c r="M496" s="79"/>
      <c r="N496" s="78">
        <f>L496+1</f>
        <v>8</v>
      </c>
      <c r="O496" s="79"/>
      <c r="P496" s="80"/>
    </row>
    <row r="497" spans="2:16" x14ac:dyDescent="0.25">
      <c r="B497" s="64" t="s">
        <v>42</v>
      </c>
      <c r="C497" s="81" t="s">
        <v>43</v>
      </c>
      <c r="D497" s="64" t="s">
        <v>42</v>
      </c>
      <c r="E497" s="81" t="s">
        <v>43</v>
      </c>
      <c r="F497" s="64" t="s">
        <v>42</v>
      </c>
      <c r="G497" s="81" t="s">
        <v>43</v>
      </c>
      <c r="H497" s="64" t="s">
        <v>42</v>
      </c>
      <c r="I497" s="81" t="s">
        <v>43</v>
      </c>
      <c r="J497" s="64" t="s">
        <v>42</v>
      </c>
      <c r="K497" s="81" t="s">
        <v>43</v>
      </c>
      <c r="L497" s="64" t="s">
        <v>42</v>
      </c>
      <c r="M497" s="81" t="s">
        <v>43</v>
      </c>
      <c r="N497" s="64" t="s">
        <v>42</v>
      </c>
      <c r="O497" s="82" t="s">
        <v>43</v>
      </c>
      <c r="P497" s="66"/>
    </row>
    <row r="498" spans="2:16" x14ac:dyDescent="0.25">
      <c r="B498" s="136" t="str">
        <f>IF(Tilmeldingsoversigt!$C$7="x",Morgenmad," ")</f>
        <v>Morgenmad</v>
      </c>
      <c r="C498" s="67">
        <f ca="1">IF(B498=Morgenmad,Tilmeldingsoversigt!$C$15," ")</f>
        <v>16.754098360655739</v>
      </c>
      <c r="D498" s="136" t="str">
        <f>IF(Tilmeldingsoversigt!$D$7="x",Morgenmad," ")</f>
        <v>Morgenmad</v>
      </c>
      <c r="E498" s="67">
        <f ca="1">IF(D498=Morgenmad,Tilmeldingsoversigt!$C$15," ")</f>
        <v>16.754098360655739</v>
      </c>
      <c r="F498" s="136" t="str">
        <f>IF(Tilmeldingsoversigt!$E$7="x",Morgenmad," ")</f>
        <v>Morgenmad</v>
      </c>
      <c r="G498" s="67">
        <f ca="1">IF(F498=Morgenmad,Tilmeldingsoversigt!$C$15," ")</f>
        <v>16.754098360655739</v>
      </c>
      <c r="H498" s="136" t="str">
        <f>IF(Tilmeldingsoversigt!$F$7="x",Morgenmad," ")</f>
        <v>Morgenmad</v>
      </c>
      <c r="I498" s="67">
        <f ca="1">IF(H498=Morgenmad,Tilmeldingsoversigt!$C$15," ")</f>
        <v>16.754098360655739</v>
      </c>
      <c r="J498" s="136" t="str">
        <f>IF(Tilmeldingsoversigt!$G$7="x",Morgenmad," ")</f>
        <v>Morgenmad</v>
      </c>
      <c r="K498" s="67">
        <f ca="1">IF(J498=Morgenmad,Tilmeldingsoversigt!$C$15," ")</f>
        <v>16.754098360655739</v>
      </c>
      <c r="L498" s="136" t="str">
        <f>IF(Tilmeldingsoversigt!$H$7="x",Morgenmad," ")</f>
        <v>Morgenmad</v>
      </c>
      <c r="M498" s="67">
        <f ca="1">IF(L498=Morgenmad,Tilmeldingsoversigt!$C$15," ")</f>
        <v>16.754098360655739</v>
      </c>
      <c r="N498" s="136" t="str">
        <f>IF(Tilmeldingsoversigt!$I$7="x",Morgenmad," ")</f>
        <v>Morgenmad</v>
      </c>
      <c r="O498" s="83">
        <f ca="1">IF(N498=Morgenmad,Tilmeldingsoversigt!$C$15," ")</f>
        <v>16.754098360655739</v>
      </c>
      <c r="P498" s="66"/>
    </row>
    <row r="499" spans="2:16" x14ac:dyDescent="0.25">
      <c r="B499" s="68" t="str">
        <f>IF(Tilmeldingsoversigt!$C$8="x",hovedret," ")</f>
        <v>Hovedret</v>
      </c>
      <c r="C499" s="69">
        <f ca="1">IF(B499=hovedret,Tilmeldingsoversigt!$C$16," ")</f>
        <v>55.016393442622949</v>
      </c>
      <c r="D499" s="68" t="str">
        <f>IF(Tilmeldingsoversigt!$D$8="x",hovedret," ")</f>
        <v>Hovedret</v>
      </c>
      <c r="E499" s="69">
        <f ca="1">IF(D499=hovedret,Tilmeldingsoversigt!$C$16," ")</f>
        <v>55.016393442622949</v>
      </c>
      <c r="F499" s="68" t="str">
        <f>IF(Tilmeldingsoversigt!$E$8="x",hovedret," ")</f>
        <v>Hovedret</v>
      </c>
      <c r="G499" s="69">
        <f ca="1">IF(F499=hovedret,Tilmeldingsoversigt!$C$16," ")</f>
        <v>55.016393442622949</v>
      </c>
      <c r="H499" s="68" t="str">
        <f>IF(Tilmeldingsoversigt!$F$8="x",hovedret," ")</f>
        <v>Hovedret</v>
      </c>
      <c r="I499" s="69">
        <f ca="1">IF(H499=hovedret,Tilmeldingsoversigt!$C$16," ")</f>
        <v>55.016393442622949</v>
      </c>
      <c r="J499" s="68" t="str">
        <f>IF(Tilmeldingsoversigt!$G$8="x",hovedret," ")</f>
        <v>Hovedret</v>
      </c>
      <c r="K499" s="69">
        <f ca="1">IF(J499=hovedret,Tilmeldingsoversigt!$C$16," ")</f>
        <v>55.016393442622949</v>
      </c>
      <c r="L499" s="68" t="str">
        <f>IF(Tilmeldingsoversigt!$H$8="x",hovedret," ")</f>
        <v>Hovedret</v>
      </c>
      <c r="M499" s="69">
        <f ca="1">IF(L499=hovedret,Tilmeldingsoversigt!$C$16," ")</f>
        <v>55.016393442622949</v>
      </c>
      <c r="N499" s="68" t="str">
        <f>IF(Tilmeldingsoversigt!$I$8="x",hovedret," ")</f>
        <v>Hovedret</v>
      </c>
      <c r="O499" s="70">
        <f ca="1">IF(N499=hovedret,Tilmeldingsoversigt!$C$16," ")</f>
        <v>55.016393442622949</v>
      </c>
      <c r="P499" s="66"/>
    </row>
    <row r="500" spans="2:16" x14ac:dyDescent="0.25">
      <c r="B500" s="68" t="str">
        <f>IF(Tilmeldingsoversigt!$C$9="x",Aftensmad," ")</f>
        <v>Aftensmad</v>
      </c>
      <c r="C500" s="69">
        <f ca="1">IF(B500=Aftensmad,Tilmeldingsoversigt!$C$17," ")</f>
        <v>27.540983606557376</v>
      </c>
      <c r="D500" s="68" t="str">
        <f>IF(Tilmeldingsoversigt!$D$9="x",Aftensmad," ")</f>
        <v>Aftensmad</v>
      </c>
      <c r="E500" s="69">
        <f ca="1">IF(D500=Aftensmad,Tilmeldingsoversigt!$C$17," ")</f>
        <v>27.540983606557376</v>
      </c>
      <c r="F500" s="68" t="str">
        <f>IF(Tilmeldingsoversigt!$E$9="x",Aftensmad," ")</f>
        <v>Aftensmad</v>
      </c>
      <c r="G500" s="69">
        <f ca="1">IF(F500=Aftensmad,Tilmeldingsoversigt!$C$17," ")</f>
        <v>27.540983606557376</v>
      </c>
      <c r="H500" s="68" t="str">
        <f>IF(Tilmeldingsoversigt!$F$9="x",Aftensmad," ")</f>
        <v>Aftensmad</v>
      </c>
      <c r="I500" s="69">
        <f ca="1">IF(H500=Aftensmad,Tilmeldingsoversigt!$C$17," ")</f>
        <v>27.540983606557376</v>
      </c>
      <c r="J500" s="68" t="str">
        <f>IF(Tilmeldingsoversigt!$G$9="x",Aftensmad," ")</f>
        <v>Aftensmad</v>
      </c>
      <c r="K500" s="69">
        <f ca="1">IF(J500=Aftensmad,Tilmeldingsoversigt!$C$17," ")</f>
        <v>27.540983606557376</v>
      </c>
      <c r="L500" s="68" t="str">
        <f>IF(Tilmeldingsoversigt!$H$9="x",Aftensmad," ")</f>
        <v>Aftensmad</v>
      </c>
      <c r="M500" s="69">
        <f ca="1">IF(L500=Aftensmad,Tilmeldingsoversigt!$C$17," ")</f>
        <v>27.540983606557376</v>
      </c>
      <c r="N500" s="68" t="str">
        <f>IF(Tilmeldingsoversigt!$I$9="x",Aftensmad," ")</f>
        <v>Aftensmad</v>
      </c>
      <c r="O500" s="70">
        <f ca="1">IF(N500=Aftensmad,Tilmeldingsoversigt!$C$17," ")</f>
        <v>27.540983606557376</v>
      </c>
      <c r="P500" s="66"/>
    </row>
    <row r="501" spans="2:16" x14ac:dyDescent="0.25">
      <c r="B501" s="68" t="str">
        <f>IF(Tilmeldingsoversigt!$C$10="x",biret," ")</f>
        <v>Biret</v>
      </c>
      <c r="C501" s="69">
        <f>IF(B501=biret,biretpris," ")</f>
        <v>0</v>
      </c>
      <c r="D501" s="68" t="str">
        <f>IF(Tilmeldingsoversigt!$D$10="x",biret," ")</f>
        <v>Biret</v>
      </c>
      <c r="E501" s="69">
        <f>IF(D501=biret,biretpris," ")</f>
        <v>0</v>
      </c>
      <c r="F501" s="68" t="str">
        <f>IF(Tilmeldingsoversigt!$E$10="x",biret," ")</f>
        <v>Biret</v>
      </c>
      <c r="G501" s="69">
        <f>IF(F501=biret,biretpris," ")</f>
        <v>0</v>
      </c>
      <c r="H501" s="68" t="str">
        <f>IF(Tilmeldingsoversigt!$F$10="x",biret," ")</f>
        <v>Biret</v>
      </c>
      <c r="I501" s="70">
        <f>IF(H501=biret,biretpris," ")</f>
        <v>0</v>
      </c>
      <c r="J501" s="68" t="str">
        <f>IF(Tilmeldingsoversigt!$G$10="x",biret," ")</f>
        <v>Biret</v>
      </c>
      <c r="K501" s="69">
        <f>IF(J501=biret,biretpris," ")</f>
        <v>0</v>
      </c>
      <c r="L501" s="68" t="str">
        <f>IF(Tilmeldingsoversigt!$H$10="x",biret," ")</f>
        <v>Biret</v>
      </c>
      <c r="M501" s="70">
        <f>IF(L501=biret,biretpris," ")</f>
        <v>0</v>
      </c>
      <c r="N501" s="68" t="str">
        <f>IF(Tilmeldingsoversigt!$I$10="x",biret," ")</f>
        <v>Biret</v>
      </c>
      <c r="O501" s="70">
        <f>IF(N501=biret,biretpris," ")</f>
        <v>0</v>
      </c>
      <c r="P501" s="66"/>
    </row>
    <row r="502" spans="2:16" x14ac:dyDescent="0.25">
      <c r="B502" s="71" t="str">
        <f>IF(Tilmeldingsoversigt!$C$11="x",mellemmåltid," ")</f>
        <v xml:space="preserve"> </v>
      </c>
      <c r="C502" s="72" t="str">
        <f>IF(B502=mellemmåltid,mellemmåltidspris," ")</f>
        <v xml:space="preserve"> </v>
      </c>
      <c r="D502" s="71" t="str">
        <f>IF(Tilmeldingsoversigt!$C$11="x",mellemmåltid," ")</f>
        <v xml:space="preserve"> </v>
      </c>
      <c r="E502" s="72" t="str">
        <f>IF(D502=mellemmåltid,mellemmåltidspris," ")</f>
        <v xml:space="preserve"> </v>
      </c>
      <c r="F502" s="71" t="str">
        <f>IF(Tilmeldingsoversigt!$C$11="x",mellemmåltid," ")</f>
        <v xml:space="preserve"> </v>
      </c>
      <c r="G502" s="72" t="str">
        <f>IF(F502=mellemmåltid,mellemmåltidspris," ")</f>
        <v xml:space="preserve"> </v>
      </c>
      <c r="H502" s="71" t="str">
        <f>IF(Tilmeldingsoversigt!$C$11="x",mellemmåltid," ")</f>
        <v xml:space="preserve"> </v>
      </c>
      <c r="I502" s="73" t="str">
        <f>IF(H502=mellemmåltid,mellemmåltidspris," ")</f>
        <v xml:space="preserve"> </v>
      </c>
      <c r="J502" s="71" t="str">
        <f>IF(Tilmeldingsoversigt!$C$11="x",mellemmåltid," ")</f>
        <v xml:space="preserve"> </v>
      </c>
      <c r="K502" s="72" t="str">
        <f>IF(J502=mellemmåltid,mellemmåltidspris," ")</f>
        <v xml:space="preserve"> </v>
      </c>
      <c r="L502" s="71" t="str">
        <f>IF(Tilmeldingsoversigt!$C$11="x",mellemmåltid," ")</f>
        <v xml:space="preserve"> </v>
      </c>
      <c r="M502" s="73" t="str">
        <f>IF(L502=mellemmåltid,mellemmåltidspris," ")</f>
        <v xml:space="preserve"> </v>
      </c>
      <c r="N502" s="71" t="str">
        <f>IF(Tilmeldingsoversigt!$C$11="x",mellemmåltid," ")</f>
        <v xml:space="preserve"> </v>
      </c>
      <c r="O502" s="73" t="str">
        <f>IF(N502=mellemmåltid,mellemmåltidspris," ")</f>
        <v xml:space="preserve"> </v>
      </c>
      <c r="P502" s="66"/>
    </row>
    <row r="503" spans="2:16" x14ac:dyDescent="0.25">
      <c r="B503" s="74" t="s">
        <v>44</v>
      </c>
      <c r="C503" s="11">
        <f ca="1">SUM(C498:C502)</f>
        <v>99.311475409836063</v>
      </c>
      <c r="D503" s="74"/>
      <c r="E503" s="11">
        <f ca="1">SUM(E498:E502)</f>
        <v>99.311475409836063</v>
      </c>
      <c r="F503" s="74"/>
      <c r="G503" s="11">
        <f ca="1">SUM(G498:G502)</f>
        <v>99.311475409836063</v>
      </c>
      <c r="H503" s="74"/>
      <c r="I503" s="11">
        <f ca="1">SUM(I498:I502)</f>
        <v>99.311475409836063</v>
      </c>
      <c r="J503" s="74"/>
      <c r="K503" s="11">
        <f ca="1">SUM(K498:K502)</f>
        <v>99.311475409836063</v>
      </c>
      <c r="L503" s="74"/>
      <c r="M503" s="11">
        <f ca="1">SUM(M498:M502)</f>
        <v>99.311475409836063</v>
      </c>
      <c r="N503" s="74"/>
      <c r="O503" s="12">
        <f ca="1">SUM(O498:O502)</f>
        <v>99.311475409836063</v>
      </c>
      <c r="P503" s="75">
        <f ca="1">SUM(C503,E503,G503,I503,K503,M503,O503)</f>
        <v>695.18032786885237</v>
      </c>
    </row>
    <row r="504" spans="2:16" x14ac:dyDescent="0.2">
      <c r="B504" s="76"/>
      <c r="C504" s="77"/>
      <c r="D504" s="77"/>
      <c r="E504" s="77"/>
      <c r="F504" s="77"/>
      <c r="G504" s="77"/>
      <c r="H504" s="77"/>
      <c r="I504" s="77"/>
      <c r="J504" s="77"/>
      <c r="K504" s="77"/>
      <c r="L504" s="77"/>
      <c r="M504" s="77"/>
      <c r="N504" s="77"/>
      <c r="O504" s="77"/>
      <c r="P504" s="76"/>
    </row>
    <row r="505" spans="2:16" ht="12.75" x14ac:dyDescent="0.25">
      <c r="B505" s="78">
        <f>N496+1</f>
        <v>9</v>
      </c>
      <c r="C505" s="79"/>
      <c r="D505" s="78">
        <f>B505+1</f>
        <v>10</v>
      </c>
      <c r="E505" s="79"/>
      <c r="F505" s="78">
        <f>D505+1</f>
        <v>11</v>
      </c>
      <c r="G505" s="79"/>
      <c r="H505" s="78">
        <f>F505+1</f>
        <v>12</v>
      </c>
      <c r="I505" s="79"/>
      <c r="J505" s="78">
        <f>H505+1</f>
        <v>13</v>
      </c>
      <c r="K505" s="79"/>
      <c r="L505" s="78">
        <f>J505+1</f>
        <v>14</v>
      </c>
      <c r="M505" s="79"/>
      <c r="N505" s="78">
        <f>L505+1</f>
        <v>15</v>
      </c>
      <c r="O505" s="79"/>
      <c r="P505" s="80"/>
    </row>
    <row r="506" spans="2:16" x14ac:dyDescent="0.25">
      <c r="B506" s="64" t="s">
        <v>42</v>
      </c>
      <c r="C506" s="81" t="s">
        <v>43</v>
      </c>
      <c r="D506" s="64" t="s">
        <v>42</v>
      </c>
      <c r="E506" s="81" t="s">
        <v>43</v>
      </c>
      <c r="F506" s="64" t="s">
        <v>42</v>
      </c>
      <c r="G506" s="81" t="s">
        <v>43</v>
      </c>
      <c r="H506" s="64" t="s">
        <v>42</v>
      </c>
      <c r="I506" s="81" t="s">
        <v>43</v>
      </c>
      <c r="J506" s="64" t="s">
        <v>42</v>
      </c>
      <c r="K506" s="81" t="s">
        <v>43</v>
      </c>
      <c r="L506" s="64" t="s">
        <v>42</v>
      </c>
      <c r="M506" s="81" t="s">
        <v>43</v>
      </c>
      <c r="N506" s="64" t="s">
        <v>42</v>
      </c>
      <c r="O506" s="82" t="s">
        <v>43</v>
      </c>
      <c r="P506" s="66"/>
    </row>
    <row r="507" spans="2:16" x14ac:dyDescent="0.25">
      <c r="B507" s="136" t="str">
        <f>IF(Tilmeldingsoversigt!$C$7="x",Morgenmad," ")</f>
        <v>Morgenmad</v>
      </c>
      <c r="C507" s="67">
        <f ca="1">IF(B507=Morgenmad,Tilmeldingsoversigt!$C$15," ")</f>
        <v>16.754098360655739</v>
      </c>
      <c r="D507" s="136" t="str">
        <f>IF(Tilmeldingsoversigt!$D$7="x",Morgenmad," ")</f>
        <v>Morgenmad</v>
      </c>
      <c r="E507" s="67">
        <f ca="1">IF(D507=Morgenmad,Tilmeldingsoversigt!$C$15," ")</f>
        <v>16.754098360655739</v>
      </c>
      <c r="F507" s="136" t="str">
        <f>IF(Tilmeldingsoversigt!$E$7="x",Morgenmad," ")</f>
        <v>Morgenmad</v>
      </c>
      <c r="G507" s="67">
        <f ca="1">IF(F507=Morgenmad,Tilmeldingsoversigt!$C$15," ")</f>
        <v>16.754098360655739</v>
      </c>
      <c r="H507" s="136" t="str">
        <f>IF(Tilmeldingsoversigt!$F$7="x",Morgenmad," ")</f>
        <v>Morgenmad</v>
      </c>
      <c r="I507" s="67">
        <f ca="1">IF(H507=Morgenmad,Tilmeldingsoversigt!$C$15," ")</f>
        <v>16.754098360655739</v>
      </c>
      <c r="J507" s="136" t="str">
        <f>IF(Tilmeldingsoversigt!$G$7="x",Morgenmad," ")</f>
        <v>Morgenmad</v>
      </c>
      <c r="K507" s="67">
        <f ca="1">IF(J507=Morgenmad,Tilmeldingsoversigt!$C$15," ")</f>
        <v>16.754098360655739</v>
      </c>
      <c r="L507" s="136" t="str">
        <f>IF(Tilmeldingsoversigt!$H$7="x",Morgenmad," ")</f>
        <v>Morgenmad</v>
      </c>
      <c r="M507" s="67">
        <f ca="1">IF(L507=Morgenmad,Tilmeldingsoversigt!$C$15," ")</f>
        <v>16.754098360655739</v>
      </c>
      <c r="N507" s="136" t="str">
        <f>IF(Tilmeldingsoversigt!$I$7="x",Morgenmad," ")</f>
        <v>Morgenmad</v>
      </c>
      <c r="O507" s="83">
        <f ca="1">IF(N507=Morgenmad,Tilmeldingsoversigt!$C$15," ")</f>
        <v>16.754098360655739</v>
      </c>
      <c r="P507" s="66"/>
    </row>
    <row r="508" spans="2:16" x14ac:dyDescent="0.25">
      <c r="B508" s="68" t="str">
        <f>IF(Tilmeldingsoversigt!$C$8="x",hovedret," ")</f>
        <v>Hovedret</v>
      </c>
      <c r="C508" s="69">
        <f ca="1">IF(B508=hovedret,Tilmeldingsoversigt!$C$16," ")</f>
        <v>55.016393442622949</v>
      </c>
      <c r="D508" s="68" t="str">
        <f>IF(Tilmeldingsoversigt!$D$8="x",hovedret," ")</f>
        <v>Hovedret</v>
      </c>
      <c r="E508" s="69">
        <f ca="1">IF(D508=hovedret,Tilmeldingsoversigt!$C$16," ")</f>
        <v>55.016393442622949</v>
      </c>
      <c r="F508" s="68" t="str">
        <f>IF(Tilmeldingsoversigt!$E$8="x",hovedret," ")</f>
        <v>Hovedret</v>
      </c>
      <c r="G508" s="69">
        <f ca="1">IF(F508=hovedret,Tilmeldingsoversigt!$C$16," ")</f>
        <v>55.016393442622949</v>
      </c>
      <c r="H508" s="68" t="str">
        <f>IF(Tilmeldingsoversigt!$F$8="x",hovedret," ")</f>
        <v>Hovedret</v>
      </c>
      <c r="I508" s="69">
        <f ca="1">IF(H508=hovedret,Tilmeldingsoversigt!$C$16," ")</f>
        <v>55.016393442622949</v>
      </c>
      <c r="J508" s="68" t="str">
        <f>IF(Tilmeldingsoversigt!$G$8="x",hovedret," ")</f>
        <v>Hovedret</v>
      </c>
      <c r="K508" s="69">
        <f ca="1">IF(J508=hovedret,Tilmeldingsoversigt!$C$16," ")</f>
        <v>55.016393442622949</v>
      </c>
      <c r="L508" s="68" t="str">
        <f>IF(Tilmeldingsoversigt!$H$8="x",hovedret," ")</f>
        <v>Hovedret</v>
      </c>
      <c r="M508" s="69">
        <f ca="1">IF(L508=hovedret,Tilmeldingsoversigt!$C$16," ")</f>
        <v>55.016393442622949</v>
      </c>
      <c r="N508" s="68" t="str">
        <f>IF(Tilmeldingsoversigt!$I$8="x",hovedret," ")</f>
        <v>Hovedret</v>
      </c>
      <c r="O508" s="70">
        <f ca="1">IF(N508=hovedret,Tilmeldingsoversigt!$C$16," ")</f>
        <v>55.016393442622949</v>
      </c>
      <c r="P508" s="66"/>
    </row>
    <row r="509" spans="2:16" x14ac:dyDescent="0.25">
      <c r="B509" s="68" t="str">
        <f>IF(Tilmeldingsoversigt!$C$9="x",Aftensmad," ")</f>
        <v>Aftensmad</v>
      </c>
      <c r="C509" s="69">
        <f ca="1">IF(B509=Aftensmad,Tilmeldingsoversigt!$C$17," ")</f>
        <v>27.540983606557376</v>
      </c>
      <c r="D509" s="68" t="str">
        <f>IF(Tilmeldingsoversigt!$D$9="x",Aftensmad," ")</f>
        <v>Aftensmad</v>
      </c>
      <c r="E509" s="69">
        <f ca="1">IF(D509=Aftensmad,Tilmeldingsoversigt!$C$17," ")</f>
        <v>27.540983606557376</v>
      </c>
      <c r="F509" s="68" t="str">
        <f>IF(Tilmeldingsoversigt!$E$9="x",Aftensmad," ")</f>
        <v>Aftensmad</v>
      </c>
      <c r="G509" s="69">
        <f ca="1">IF(F509=Aftensmad,Tilmeldingsoversigt!$C$17," ")</f>
        <v>27.540983606557376</v>
      </c>
      <c r="H509" s="68" t="str">
        <f>IF(Tilmeldingsoversigt!$F$9="x",Aftensmad," ")</f>
        <v>Aftensmad</v>
      </c>
      <c r="I509" s="69">
        <f ca="1">IF(H509=Aftensmad,Tilmeldingsoversigt!$C$17," ")</f>
        <v>27.540983606557376</v>
      </c>
      <c r="J509" s="68" t="str">
        <f>IF(Tilmeldingsoversigt!$G$9="x",Aftensmad," ")</f>
        <v>Aftensmad</v>
      </c>
      <c r="K509" s="69">
        <f ca="1">IF(J509=Aftensmad,Tilmeldingsoversigt!$C$17," ")</f>
        <v>27.540983606557376</v>
      </c>
      <c r="L509" s="68" t="str">
        <f>IF(Tilmeldingsoversigt!$H$9="x",Aftensmad," ")</f>
        <v>Aftensmad</v>
      </c>
      <c r="M509" s="69">
        <f ca="1">IF(L509=Aftensmad,Tilmeldingsoversigt!$C$17," ")</f>
        <v>27.540983606557376</v>
      </c>
      <c r="N509" s="68" t="str">
        <f>IF(Tilmeldingsoversigt!$I$9="x",Aftensmad," ")</f>
        <v>Aftensmad</v>
      </c>
      <c r="O509" s="70">
        <f ca="1">IF(N509=Aftensmad,Tilmeldingsoversigt!$C$17," ")</f>
        <v>27.540983606557376</v>
      </c>
      <c r="P509" s="66"/>
    </row>
    <row r="510" spans="2:16" x14ac:dyDescent="0.25">
      <c r="B510" s="68" t="str">
        <f>IF(Tilmeldingsoversigt!$C$10="x",biret," ")</f>
        <v>Biret</v>
      </c>
      <c r="C510" s="69">
        <f>IF(B510=biret,biretpris," ")</f>
        <v>0</v>
      </c>
      <c r="D510" s="68" t="str">
        <f>IF(Tilmeldingsoversigt!$D$10="x",biret," ")</f>
        <v>Biret</v>
      </c>
      <c r="E510" s="69">
        <f>IF(D510=biret,biretpris," ")</f>
        <v>0</v>
      </c>
      <c r="F510" s="68" t="str">
        <f>IF(Tilmeldingsoversigt!$E$10="x",biret," ")</f>
        <v>Biret</v>
      </c>
      <c r="G510" s="69">
        <f>IF(F510=biret,biretpris," ")</f>
        <v>0</v>
      </c>
      <c r="H510" s="68" t="str">
        <f>IF(Tilmeldingsoversigt!$F$10="x",biret," ")</f>
        <v>Biret</v>
      </c>
      <c r="I510" s="70">
        <f>IF(H510=biret,biretpris," ")</f>
        <v>0</v>
      </c>
      <c r="J510" s="68" t="str">
        <f>IF(Tilmeldingsoversigt!$G$10="x",biret," ")</f>
        <v>Biret</v>
      </c>
      <c r="K510" s="69">
        <f>IF(J510=biret,biretpris," ")</f>
        <v>0</v>
      </c>
      <c r="L510" s="68" t="str">
        <f>IF(Tilmeldingsoversigt!$H$10="x",biret," ")</f>
        <v>Biret</v>
      </c>
      <c r="M510" s="70">
        <f>IF(L510=biret,biretpris," ")</f>
        <v>0</v>
      </c>
      <c r="N510" s="68" t="str">
        <f>IF(Tilmeldingsoversigt!$I$10="x",biret," ")</f>
        <v>Biret</v>
      </c>
      <c r="O510" s="70">
        <f>IF(N510=biret,biretpris," ")</f>
        <v>0</v>
      </c>
      <c r="P510" s="66"/>
    </row>
    <row r="511" spans="2:16" x14ac:dyDescent="0.25">
      <c r="B511" s="71" t="str">
        <f>IF(Tilmeldingsoversigt!$C$11="x",mellemmåltid," ")</f>
        <v xml:space="preserve"> </v>
      </c>
      <c r="C511" s="72" t="str">
        <f>IF(B511=mellemmåltid,mellemmåltidspris," ")</f>
        <v xml:space="preserve"> </v>
      </c>
      <c r="D511" s="71" t="str">
        <f>IF(Tilmeldingsoversigt!$C$11="x",mellemmåltid," ")</f>
        <v xml:space="preserve"> </v>
      </c>
      <c r="E511" s="72" t="str">
        <f>IF(D511=mellemmåltid,mellemmåltidspris," ")</f>
        <v xml:space="preserve"> </v>
      </c>
      <c r="F511" s="71" t="str">
        <f>IF(Tilmeldingsoversigt!$C$11="x",mellemmåltid," ")</f>
        <v xml:space="preserve"> </v>
      </c>
      <c r="G511" s="72" t="str">
        <f>IF(F511=mellemmåltid,mellemmåltidspris," ")</f>
        <v xml:space="preserve"> </v>
      </c>
      <c r="H511" s="71" t="str">
        <f>IF(Tilmeldingsoversigt!$C$11="x",mellemmåltid," ")</f>
        <v xml:space="preserve"> </v>
      </c>
      <c r="I511" s="73" t="str">
        <f>IF(H511=mellemmåltid,mellemmåltidspris," ")</f>
        <v xml:space="preserve"> </v>
      </c>
      <c r="J511" s="71" t="str">
        <f>IF(Tilmeldingsoversigt!$C$11="x",mellemmåltid," ")</f>
        <v xml:space="preserve"> </v>
      </c>
      <c r="K511" s="72" t="str">
        <f>IF(J511=mellemmåltid,mellemmåltidspris," ")</f>
        <v xml:space="preserve"> </v>
      </c>
      <c r="L511" s="71" t="str">
        <f>IF(Tilmeldingsoversigt!$C$11="x",mellemmåltid," ")</f>
        <v xml:space="preserve"> </v>
      </c>
      <c r="M511" s="73" t="str">
        <f>IF(L511=mellemmåltid,mellemmåltidspris," ")</f>
        <v xml:space="preserve"> </v>
      </c>
      <c r="N511" s="71" t="str">
        <f>IF(Tilmeldingsoversigt!$C$11="x",mellemmåltid," ")</f>
        <v xml:space="preserve"> </v>
      </c>
      <c r="O511" s="73" t="str">
        <f>IF(N511=mellemmåltid,mellemmåltidspris," ")</f>
        <v xml:space="preserve"> </v>
      </c>
      <c r="P511" s="66"/>
    </row>
    <row r="512" spans="2:16" x14ac:dyDescent="0.25">
      <c r="B512" s="84" t="s">
        <v>44</v>
      </c>
      <c r="C512" s="11">
        <f ca="1">SUM(C507:C511)</f>
        <v>99.311475409836063</v>
      </c>
      <c r="D512" s="74"/>
      <c r="E512" s="11">
        <f ca="1">SUM(E507:E511)</f>
        <v>99.311475409836063</v>
      </c>
      <c r="F512" s="74"/>
      <c r="G512" s="11">
        <f ca="1">SUM(G507:G511)</f>
        <v>99.311475409836063</v>
      </c>
      <c r="H512" s="74"/>
      <c r="I512" s="11">
        <f ca="1">SUM(I507:I511)</f>
        <v>99.311475409836063</v>
      </c>
      <c r="J512" s="74"/>
      <c r="K512" s="11">
        <f ca="1">SUM(K507:K511)</f>
        <v>99.311475409836063</v>
      </c>
      <c r="L512" s="74"/>
      <c r="M512" s="11">
        <f ca="1">SUM(M507:M511)</f>
        <v>99.311475409836063</v>
      </c>
      <c r="N512" s="74"/>
      <c r="O512" s="12">
        <f ca="1">SUM(O507:O511)</f>
        <v>99.311475409836063</v>
      </c>
      <c r="P512" s="75">
        <f ca="1">SUM(C512,E512,G512,I512,K512,M512,O512)</f>
        <v>695.18032786885237</v>
      </c>
    </row>
    <row r="513" spans="2:16" x14ac:dyDescent="0.2">
      <c r="B513" s="76"/>
      <c r="C513" s="77"/>
      <c r="D513" s="77"/>
      <c r="E513" s="77"/>
      <c r="F513" s="77"/>
      <c r="G513" s="77"/>
      <c r="H513" s="77"/>
      <c r="I513" s="77"/>
      <c r="J513" s="77"/>
      <c r="K513" s="77"/>
      <c r="L513" s="77"/>
      <c r="M513" s="77"/>
      <c r="N513" s="77"/>
      <c r="O513" s="77"/>
      <c r="P513" s="76"/>
    </row>
    <row r="514" spans="2:16" ht="12.75" x14ac:dyDescent="0.25">
      <c r="B514" s="78">
        <f>N505+1</f>
        <v>16</v>
      </c>
      <c r="C514" s="79"/>
      <c r="D514" s="78">
        <f>B514+1</f>
        <v>17</v>
      </c>
      <c r="E514" s="79"/>
      <c r="F514" s="78">
        <f>D514+1</f>
        <v>18</v>
      </c>
      <c r="G514" s="79"/>
      <c r="H514" s="78">
        <f>F514+1</f>
        <v>19</v>
      </c>
      <c r="I514" s="79"/>
      <c r="J514" s="78">
        <f>H514+1</f>
        <v>20</v>
      </c>
      <c r="K514" s="79"/>
      <c r="L514" s="78">
        <f>J514+1</f>
        <v>21</v>
      </c>
      <c r="M514" s="79"/>
      <c r="N514" s="78">
        <f>L514+1</f>
        <v>22</v>
      </c>
      <c r="O514" s="79"/>
      <c r="P514" s="80"/>
    </row>
    <row r="515" spans="2:16" x14ac:dyDescent="0.25">
      <c r="B515" s="64" t="s">
        <v>42</v>
      </c>
      <c r="C515" s="81" t="s">
        <v>43</v>
      </c>
      <c r="D515" s="64" t="s">
        <v>42</v>
      </c>
      <c r="E515" s="81" t="s">
        <v>43</v>
      </c>
      <c r="F515" s="64" t="s">
        <v>42</v>
      </c>
      <c r="G515" s="81" t="s">
        <v>43</v>
      </c>
      <c r="H515" s="64" t="s">
        <v>42</v>
      </c>
      <c r="I515" s="81" t="s">
        <v>43</v>
      </c>
      <c r="J515" s="64" t="s">
        <v>42</v>
      </c>
      <c r="K515" s="81" t="s">
        <v>43</v>
      </c>
      <c r="L515" s="64" t="s">
        <v>42</v>
      </c>
      <c r="M515" s="81" t="s">
        <v>43</v>
      </c>
      <c r="N515" s="64" t="s">
        <v>42</v>
      </c>
      <c r="O515" s="82" t="s">
        <v>43</v>
      </c>
      <c r="P515" s="66"/>
    </row>
    <row r="516" spans="2:16" x14ac:dyDescent="0.25">
      <c r="B516" s="136" t="str">
        <f>IF(Tilmeldingsoversigt!$C$7="x",Morgenmad," ")</f>
        <v>Morgenmad</v>
      </c>
      <c r="C516" s="67">
        <f ca="1">IF(B516=Morgenmad,Tilmeldingsoversigt!$C$15," ")</f>
        <v>16.754098360655739</v>
      </c>
      <c r="D516" s="136" t="str">
        <f>IF(Tilmeldingsoversigt!$D$7="x",Morgenmad," ")</f>
        <v>Morgenmad</v>
      </c>
      <c r="E516" s="67">
        <f ca="1">IF(D516=Morgenmad,Tilmeldingsoversigt!$C$15," ")</f>
        <v>16.754098360655739</v>
      </c>
      <c r="F516" s="136" t="str">
        <f>IF(Tilmeldingsoversigt!$E$7="x",Morgenmad," ")</f>
        <v>Morgenmad</v>
      </c>
      <c r="G516" s="67">
        <f ca="1">IF(F516=Morgenmad,Tilmeldingsoversigt!$C$15," ")</f>
        <v>16.754098360655739</v>
      </c>
      <c r="H516" s="136" t="str">
        <f>IF(Tilmeldingsoversigt!$F$7="x",Morgenmad," ")</f>
        <v>Morgenmad</v>
      </c>
      <c r="I516" s="67">
        <f ca="1">IF(H516=Morgenmad,Tilmeldingsoversigt!$C$15," ")</f>
        <v>16.754098360655739</v>
      </c>
      <c r="J516" s="136" t="str">
        <f>IF(Tilmeldingsoversigt!$G$7="x",Morgenmad," ")</f>
        <v>Morgenmad</v>
      </c>
      <c r="K516" s="67">
        <f ca="1">IF(J516=Morgenmad,Tilmeldingsoversigt!$C$15," ")</f>
        <v>16.754098360655739</v>
      </c>
      <c r="L516" s="136" t="str">
        <f>IF(Tilmeldingsoversigt!$H$7="x",Morgenmad," ")</f>
        <v>Morgenmad</v>
      </c>
      <c r="M516" s="67">
        <f ca="1">IF(L516=Morgenmad,Tilmeldingsoversigt!$C$15," ")</f>
        <v>16.754098360655739</v>
      </c>
      <c r="N516" s="136" t="str">
        <f>IF(Tilmeldingsoversigt!$I$7="x",Morgenmad," ")</f>
        <v>Morgenmad</v>
      </c>
      <c r="O516" s="83">
        <f ca="1">IF(N516=Morgenmad,Tilmeldingsoversigt!$C$15," ")</f>
        <v>16.754098360655739</v>
      </c>
      <c r="P516" s="66"/>
    </row>
    <row r="517" spans="2:16" x14ac:dyDescent="0.25">
      <c r="B517" s="68" t="str">
        <f>IF(Tilmeldingsoversigt!$C$8="x",hovedret," ")</f>
        <v>Hovedret</v>
      </c>
      <c r="C517" s="69">
        <f ca="1">IF(B517=hovedret,Tilmeldingsoversigt!$C$16," ")</f>
        <v>55.016393442622949</v>
      </c>
      <c r="D517" s="68" t="str">
        <f>IF(Tilmeldingsoversigt!$D$8="x",hovedret," ")</f>
        <v>Hovedret</v>
      </c>
      <c r="E517" s="69">
        <f ca="1">IF(D517=hovedret,Tilmeldingsoversigt!$C$16," ")</f>
        <v>55.016393442622949</v>
      </c>
      <c r="F517" s="68" t="str">
        <f>IF(Tilmeldingsoversigt!$E$8="x",hovedret," ")</f>
        <v>Hovedret</v>
      </c>
      <c r="G517" s="69">
        <f ca="1">IF(F517=hovedret,Tilmeldingsoversigt!$C$16," ")</f>
        <v>55.016393442622949</v>
      </c>
      <c r="H517" s="68" t="str">
        <f>IF(Tilmeldingsoversigt!$F$8="x",hovedret," ")</f>
        <v>Hovedret</v>
      </c>
      <c r="I517" s="69">
        <f ca="1">IF(H517=hovedret,Tilmeldingsoversigt!$C$16," ")</f>
        <v>55.016393442622949</v>
      </c>
      <c r="J517" s="68" t="str">
        <f>IF(Tilmeldingsoversigt!$G$8="x",hovedret," ")</f>
        <v>Hovedret</v>
      </c>
      <c r="K517" s="69">
        <f ca="1">IF(J517=hovedret,Tilmeldingsoversigt!$C$16," ")</f>
        <v>55.016393442622949</v>
      </c>
      <c r="L517" s="68" t="str">
        <f>IF(Tilmeldingsoversigt!$H$8="x",hovedret," ")</f>
        <v>Hovedret</v>
      </c>
      <c r="M517" s="69">
        <f ca="1">IF(L517=hovedret,Tilmeldingsoversigt!$C$16," ")</f>
        <v>55.016393442622949</v>
      </c>
      <c r="N517" s="68" t="str">
        <f>IF(Tilmeldingsoversigt!$I$8="x",hovedret," ")</f>
        <v>Hovedret</v>
      </c>
      <c r="O517" s="70">
        <f ca="1">IF(N517=hovedret,Tilmeldingsoversigt!$C$16," ")</f>
        <v>55.016393442622949</v>
      </c>
      <c r="P517" s="66"/>
    </row>
    <row r="518" spans="2:16" x14ac:dyDescent="0.25">
      <c r="B518" s="68" t="str">
        <f>IF(Tilmeldingsoversigt!$C$9="x",Aftensmad," ")</f>
        <v>Aftensmad</v>
      </c>
      <c r="C518" s="69">
        <f ca="1">IF(B518=Aftensmad,Tilmeldingsoversigt!$C$17," ")</f>
        <v>27.540983606557376</v>
      </c>
      <c r="D518" s="68" t="str">
        <f>IF(Tilmeldingsoversigt!$D$9="x",Aftensmad," ")</f>
        <v>Aftensmad</v>
      </c>
      <c r="E518" s="69">
        <f ca="1">IF(D518=Aftensmad,Tilmeldingsoversigt!$C$17," ")</f>
        <v>27.540983606557376</v>
      </c>
      <c r="F518" s="68" t="str">
        <f>IF(Tilmeldingsoversigt!$E$9="x",Aftensmad," ")</f>
        <v>Aftensmad</v>
      </c>
      <c r="G518" s="69">
        <f ca="1">IF(F518=Aftensmad,Tilmeldingsoversigt!$C$17," ")</f>
        <v>27.540983606557376</v>
      </c>
      <c r="H518" s="68" t="str">
        <f>IF(Tilmeldingsoversigt!$F$9="x",Aftensmad," ")</f>
        <v>Aftensmad</v>
      </c>
      <c r="I518" s="69">
        <f ca="1">IF(H518=Aftensmad,Tilmeldingsoversigt!$C$17," ")</f>
        <v>27.540983606557376</v>
      </c>
      <c r="J518" s="68" t="str">
        <f>IF(Tilmeldingsoversigt!$G$9="x",Aftensmad," ")</f>
        <v>Aftensmad</v>
      </c>
      <c r="K518" s="69">
        <f ca="1">IF(J518=Aftensmad,Tilmeldingsoversigt!$C$17," ")</f>
        <v>27.540983606557376</v>
      </c>
      <c r="L518" s="68" t="str">
        <f>IF(Tilmeldingsoversigt!$H$9="x",Aftensmad," ")</f>
        <v>Aftensmad</v>
      </c>
      <c r="M518" s="69">
        <f ca="1">IF(L518=Aftensmad,Tilmeldingsoversigt!$C$17," ")</f>
        <v>27.540983606557376</v>
      </c>
      <c r="N518" s="68" t="str">
        <f>IF(Tilmeldingsoversigt!$I$9="x",Aftensmad," ")</f>
        <v>Aftensmad</v>
      </c>
      <c r="O518" s="70">
        <f ca="1">IF(N518=Aftensmad,Tilmeldingsoversigt!$C$17," ")</f>
        <v>27.540983606557376</v>
      </c>
      <c r="P518" s="66"/>
    </row>
    <row r="519" spans="2:16" x14ac:dyDescent="0.25">
      <c r="B519" s="68" t="str">
        <f>IF(Tilmeldingsoversigt!$C$10="x",biret," ")</f>
        <v>Biret</v>
      </c>
      <c r="C519" s="69">
        <f>IF(B519=biret,biretpris," ")</f>
        <v>0</v>
      </c>
      <c r="D519" s="68" t="str">
        <f>IF(Tilmeldingsoversigt!$D$10="x",biret," ")</f>
        <v>Biret</v>
      </c>
      <c r="E519" s="69">
        <f>IF(D519=biret,biretpris," ")</f>
        <v>0</v>
      </c>
      <c r="F519" s="68" t="str">
        <f>IF(Tilmeldingsoversigt!$E$10="x",biret," ")</f>
        <v>Biret</v>
      </c>
      <c r="G519" s="69">
        <f>IF(F519=biret,biretpris," ")</f>
        <v>0</v>
      </c>
      <c r="H519" s="68" t="str">
        <f>IF(Tilmeldingsoversigt!$F$10="x",biret," ")</f>
        <v>Biret</v>
      </c>
      <c r="I519" s="70">
        <f>IF(H519=biret,biretpris," ")</f>
        <v>0</v>
      </c>
      <c r="J519" s="68" t="str">
        <f>IF(Tilmeldingsoversigt!$G$10="x",biret," ")</f>
        <v>Biret</v>
      </c>
      <c r="K519" s="69">
        <f>IF(J519=biret,biretpris," ")</f>
        <v>0</v>
      </c>
      <c r="L519" s="68" t="str">
        <f>IF(Tilmeldingsoversigt!$H$10="x",biret," ")</f>
        <v>Biret</v>
      </c>
      <c r="M519" s="70">
        <f>IF(L519=biret,biretpris," ")</f>
        <v>0</v>
      </c>
      <c r="N519" s="68" t="str">
        <f>IF(Tilmeldingsoversigt!$I$10="x",biret," ")</f>
        <v>Biret</v>
      </c>
      <c r="O519" s="70">
        <f>IF(N519=biret,biretpris," ")</f>
        <v>0</v>
      </c>
      <c r="P519" s="66"/>
    </row>
    <row r="520" spans="2:16" x14ac:dyDescent="0.25">
      <c r="B520" s="71" t="str">
        <f>IF(Tilmeldingsoversigt!$C$11="x",mellemmåltid," ")</f>
        <v xml:space="preserve"> </v>
      </c>
      <c r="C520" s="72" t="str">
        <f>IF(B520=mellemmåltid,mellemmåltidspris," ")</f>
        <v xml:space="preserve"> </v>
      </c>
      <c r="D520" s="71" t="str">
        <f>IF(Tilmeldingsoversigt!$C$11="x",mellemmåltid," ")</f>
        <v xml:space="preserve"> </v>
      </c>
      <c r="E520" s="72" t="str">
        <f>IF(D520=mellemmåltid,mellemmåltidspris," ")</f>
        <v xml:space="preserve"> </v>
      </c>
      <c r="F520" s="71" t="str">
        <f>IF(Tilmeldingsoversigt!$C$11="x",mellemmåltid," ")</f>
        <v xml:space="preserve"> </v>
      </c>
      <c r="G520" s="72" t="str">
        <f>IF(F520=mellemmåltid,mellemmåltidspris," ")</f>
        <v xml:space="preserve"> </v>
      </c>
      <c r="H520" s="71" t="str">
        <f>IF(Tilmeldingsoversigt!$C$11="x",mellemmåltid," ")</f>
        <v xml:space="preserve"> </v>
      </c>
      <c r="I520" s="73" t="str">
        <f>IF(H520=mellemmåltid,mellemmåltidspris," ")</f>
        <v xml:space="preserve"> </v>
      </c>
      <c r="J520" s="71" t="str">
        <f>IF(Tilmeldingsoversigt!$C$11="x",mellemmåltid," ")</f>
        <v xml:space="preserve"> </v>
      </c>
      <c r="K520" s="72" t="str">
        <f>IF(J520=mellemmåltid,mellemmåltidspris," ")</f>
        <v xml:space="preserve"> </v>
      </c>
      <c r="L520" s="71" t="str">
        <f>IF(Tilmeldingsoversigt!$C$11="x",mellemmåltid," ")</f>
        <v xml:space="preserve"> </v>
      </c>
      <c r="M520" s="73" t="str">
        <f>IF(L520=mellemmåltid,mellemmåltidspris," ")</f>
        <v xml:space="preserve"> </v>
      </c>
      <c r="N520" s="71" t="str">
        <f>IF(Tilmeldingsoversigt!$C$11="x",mellemmåltid," ")</f>
        <v xml:space="preserve"> </v>
      </c>
      <c r="O520" s="73" t="str">
        <f>IF(N520=mellemmåltid,mellemmåltidspris," ")</f>
        <v xml:space="preserve"> </v>
      </c>
      <c r="P520" s="66"/>
    </row>
    <row r="521" spans="2:16" x14ac:dyDescent="0.25">
      <c r="B521" s="74" t="s">
        <v>44</v>
      </c>
      <c r="C521" s="11">
        <f ca="1">SUM(C516:C520)</f>
        <v>99.311475409836063</v>
      </c>
      <c r="D521" s="74"/>
      <c r="E521" s="11">
        <f ca="1">SUM(E516:E520)</f>
        <v>99.311475409836063</v>
      </c>
      <c r="F521" s="74"/>
      <c r="G521" s="11">
        <f ca="1">SUM(G516:G520)</f>
        <v>99.311475409836063</v>
      </c>
      <c r="H521" s="74"/>
      <c r="I521" s="11">
        <f ca="1">SUM(I516:I520)</f>
        <v>99.311475409836063</v>
      </c>
      <c r="J521" s="74"/>
      <c r="K521" s="11">
        <f ca="1">SUM(K516:K520)</f>
        <v>99.311475409836063</v>
      </c>
      <c r="L521" s="74"/>
      <c r="M521" s="11">
        <f ca="1">SUM(M516:M520)</f>
        <v>99.311475409836063</v>
      </c>
      <c r="N521" s="74"/>
      <c r="O521" s="12">
        <f ca="1">SUM(O516:O520)</f>
        <v>99.311475409836063</v>
      </c>
      <c r="P521" s="75">
        <f ca="1">SUM(C521,E521,G521,I521,K521,M521,O521)</f>
        <v>695.18032786885237</v>
      </c>
    </row>
    <row r="522" spans="2:16" x14ac:dyDescent="0.2">
      <c r="B522" s="76"/>
      <c r="C522" s="77"/>
      <c r="D522" s="77"/>
      <c r="E522" s="77"/>
      <c r="F522" s="77"/>
      <c r="G522" s="77"/>
      <c r="H522" s="77"/>
      <c r="I522" s="77"/>
      <c r="J522" s="77"/>
      <c r="K522" s="77"/>
      <c r="L522" s="77"/>
      <c r="M522" s="77"/>
      <c r="N522" s="77"/>
      <c r="O522" s="77"/>
      <c r="P522" s="76"/>
    </row>
    <row r="523" spans="2:16" ht="12.75" x14ac:dyDescent="0.25">
      <c r="B523" s="78">
        <f>DAY(IF(DAY(SepSøn1)=1,SepSøn1+22,SepSøn1+29))</f>
        <v>23</v>
      </c>
      <c r="C523" s="79"/>
      <c r="D523" s="78">
        <f>DAY(IF(DAY(SepSøn1)=1,SepSøn1+23,SepSøn1+30))</f>
        <v>24</v>
      </c>
      <c r="E523" s="79"/>
      <c r="F523" s="78">
        <f>DAY(IF(DAY(SepSøn1)=1,SepSøn1+24,SepSøn1+31))</f>
        <v>25</v>
      </c>
      <c r="G523" s="79"/>
      <c r="H523" s="78">
        <f>DAY(IF(DAY(SepSøn1)=1,SepSøn1+25,SepSøn1+32))</f>
        <v>26</v>
      </c>
      <c r="I523" s="79"/>
      <c r="J523" s="78">
        <f>DAY(IF(DAY(SepSøn1)=1,SepSøn1+26,SepSøn1+33))</f>
        <v>27</v>
      </c>
      <c r="K523" s="79"/>
      <c r="L523" s="78">
        <f>DAY(IF(DAY(SepSøn1)=1,SepSøn1+27,SepSøn1+34))</f>
        <v>28</v>
      </c>
      <c r="M523" s="79"/>
      <c r="N523" s="78">
        <f>DAY(IF(DAY(SepSøn1)=1,SepSøn1+28,SepSøn1+35))</f>
        <v>29</v>
      </c>
      <c r="O523" s="79"/>
      <c r="P523" s="85"/>
    </row>
    <row r="524" spans="2:16" x14ac:dyDescent="0.25">
      <c r="B524" s="64" t="s">
        <v>42</v>
      </c>
      <c r="C524" s="81" t="s">
        <v>43</v>
      </c>
      <c r="D524" s="64" t="s">
        <v>42</v>
      </c>
      <c r="E524" s="81" t="s">
        <v>43</v>
      </c>
      <c r="F524" s="64" t="s">
        <v>42</v>
      </c>
      <c r="G524" s="81" t="s">
        <v>43</v>
      </c>
      <c r="H524" s="64" t="s">
        <v>42</v>
      </c>
      <c r="I524" s="81" t="s">
        <v>43</v>
      </c>
      <c r="J524" s="64" t="s">
        <v>42</v>
      </c>
      <c r="K524" s="81" t="s">
        <v>43</v>
      </c>
      <c r="L524" s="64" t="s">
        <v>42</v>
      </c>
      <c r="M524" s="81" t="s">
        <v>43</v>
      </c>
      <c r="N524" s="64" t="s">
        <v>42</v>
      </c>
      <c r="O524" s="82" t="s">
        <v>43</v>
      </c>
      <c r="P524" s="66"/>
    </row>
    <row r="525" spans="2:16" x14ac:dyDescent="0.25">
      <c r="B525" s="136" t="str">
        <f>IF(Tilmeldingsoversigt!$C$7="x",Morgenmad," ")</f>
        <v>Morgenmad</v>
      </c>
      <c r="C525" s="67">
        <f ca="1">IF(B525=Morgenmad,Tilmeldingsoversigt!$C$15," ")</f>
        <v>16.754098360655739</v>
      </c>
      <c r="D525" s="136" t="str">
        <f>IF(Tilmeldingsoversigt!$D$7="x",Morgenmad," ")</f>
        <v>Morgenmad</v>
      </c>
      <c r="E525" s="67">
        <f ca="1">IF(D525=Morgenmad,Tilmeldingsoversigt!$C$15," ")</f>
        <v>16.754098360655739</v>
      </c>
      <c r="F525" s="136" t="str">
        <f>IF(Tilmeldingsoversigt!$E$7="x",Morgenmad," ")</f>
        <v>Morgenmad</v>
      </c>
      <c r="G525" s="67">
        <f ca="1">IF(F525=Morgenmad,Tilmeldingsoversigt!$C$15," ")</f>
        <v>16.754098360655739</v>
      </c>
      <c r="H525" s="136" t="str">
        <f>IF(Tilmeldingsoversigt!$F$7="x",Morgenmad," ")</f>
        <v>Morgenmad</v>
      </c>
      <c r="I525" s="67">
        <f ca="1">IF(H525=Morgenmad,Tilmeldingsoversigt!$C$15," ")</f>
        <v>16.754098360655739</v>
      </c>
      <c r="J525" s="136" t="str">
        <f>IF(Tilmeldingsoversigt!$G$7="x",Morgenmad," ")</f>
        <v>Morgenmad</v>
      </c>
      <c r="K525" s="67">
        <f ca="1">IF(J525=Morgenmad,Tilmeldingsoversigt!$C$15," ")</f>
        <v>16.754098360655739</v>
      </c>
      <c r="L525" s="136"/>
      <c r="M525" s="67"/>
      <c r="N525" s="139"/>
      <c r="O525" s="86"/>
      <c r="P525" s="66"/>
    </row>
    <row r="526" spans="2:16" x14ac:dyDescent="0.25">
      <c r="B526" s="68" t="str">
        <f>IF(Tilmeldingsoversigt!$C$8="x",hovedret," ")</f>
        <v>Hovedret</v>
      </c>
      <c r="C526" s="69">
        <f ca="1">IF(B526=hovedret,Tilmeldingsoversigt!$C$16," ")</f>
        <v>55.016393442622949</v>
      </c>
      <c r="D526" s="68" t="str">
        <f>IF(Tilmeldingsoversigt!$D$8="x",hovedret," ")</f>
        <v>Hovedret</v>
      </c>
      <c r="E526" s="69">
        <f ca="1">IF(D526=hovedret,Tilmeldingsoversigt!$C$16," ")</f>
        <v>55.016393442622949</v>
      </c>
      <c r="F526" s="68" t="str">
        <f>IF(Tilmeldingsoversigt!$E$8="x",hovedret," ")</f>
        <v>Hovedret</v>
      </c>
      <c r="G526" s="69">
        <f ca="1">IF(F526=hovedret,Tilmeldingsoversigt!$C$16," ")</f>
        <v>55.016393442622949</v>
      </c>
      <c r="H526" s="68" t="str">
        <f>IF(Tilmeldingsoversigt!$F$8="x",hovedret," ")</f>
        <v>Hovedret</v>
      </c>
      <c r="I526" s="69">
        <f ca="1">IF(H526=hovedret,Tilmeldingsoversigt!$C$16," ")</f>
        <v>55.016393442622949</v>
      </c>
      <c r="J526" s="68" t="str">
        <f>IF(Tilmeldingsoversigt!$G$8="x",hovedret," ")</f>
        <v>Hovedret</v>
      </c>
      <c r="K526" s="69">
        <f ca="1">IF(J526=hovedret,Tilmeldingsoversigt!$C$16," ")</f>
        <v>55.016393442622949</v>
      </c>
      <c r="L526" s="68"/>
      <c r="M526" s="69"/>
      <c r="N526" s="87"/>
      <c r="O526" s="88"/>
      <c r="P526" s="66"/>
    </row>
    <row r="527" spans="2:16" x14ac:dyDescent="0.25">
      <c r="B527" s="68" t="str">
        <f>IF(Tilmeldingsoversigt!$C$9="x",Aftensmad," ")</f>
        <v>Aftensmad</v>
      </c>
      <c r="C527" s="69">
        <f ca="1">IF(B527=Aftensmad,Tilmeldingsoversigt!$C$17," ")</f>
        <v>27.540983606557376</v>
      </c>
      <c r="D527" s="68" t="str">
        <f>IF(Tilmeldingsoversigt!$D$9="x",Aftensmad," ")</f>
        <v>Aftensmad</v>
      </c>
      <c r="E527" s="69">
        <f ca="1">IF(D527=Aftensmad,Tilmeldingsoversigt!$C$17," ")</f>
        <v>27.540983606557376</v>
      </c>
      <c r="F527" s="68" t="str">
        <f>IF(Tilmeldingsoversigt!$E$9="x",Aftensmad," ")</f>
        <v>Aftensmad</v>
      </c>
      <c r="G527" s="69">
        <f ca="1">IF(F527=Aftensmad,Tilmeldingsoversigt!$C$17," ")</f>
        <v>27.540983606557376</v>
      </c>
      <c r="H527" s="68" t="str">
        <f>IF(Tilmeldingsoversigt!$F$9="x",Aftensmad," ")</f>
        <v>Aftensmad</v>
      </c>
      <c r="I527" s="69">
        <f ca="1">IF(H527=Aftensmad,Tilmeldingsoversigt!$C$17," ")</f>
        <v>27.540983606557376</v>
      </c>
      <c r="J527" s="68" t="str">
        <f>IF(Tilmeldingsoversigt!$G$9="x",Aftensmad," ")</f>
        <v>Aftensmad</v>
      </c>
      <c r="K527" s="69">
        <f ca="1">IF(J527=Aftensmad,Tilmeldingsoversigt!$C$17," ")</f>
        <v>27.540983606557376</v>
      </c>
      <c r="L527" s="68"/>
      <c r="M527" s="69"/>
      <c r="N527" s="87"/>
      <c r="O527" s="88"/>
      <c r="P527" s="66"/>
    </row>
    <row r="528" spans="2:16" x14ac:dyDescent="0.25">
      <c r="B528" s="68" t="str">
        <f>IF(Tilmeldingsoversigt!$C$10="x",biret," ")</f>
        <v>Biret</v>
      </c>
      <c r="C528" s="69">
        <f>IF(B528=biret,biretpris," ")</f>
        <v>0</v>
      </c>
      <c r="D528" s="68" t="str">
        <f>IF(Tilmeldingsoversigt!$D$10="x",biret," ")</f>
        <v>Biret</v>
      </c>
      <c r="E528" s="69">
        <f>IF(D528=biret,biretpris," ")</f>
        <v>0</v>
      </c>
      <c r="F528" s="68" t="str">
        <f>IF(Tilmeldingsoversigt!$E$10="x",biret," ")</f>
        <v>Biret</v>
      </c>
      <c r="G528" s="69">
        <f>IF(F528=biret,biretpris," ")</f>
        <v>0</v>
      </c>
      <c r="H528" s="68" t="str">
        <f>IF(Tilmeldingsoversigt!$F$10="x",biret," ")</f>
        <v>Biret</v>
      </c>
      <c r="I528" s="70">
        <f>IF(H528=biret,biretpris," ")</f>
        <v>0</v>
      </c>
      <c r="J528" s="68" t="str">
        <f>IF(Tilmeldingsoversigt!$G$10="x",biret," ")</f>
        <v>Biret</v>
      </c>
      <c r="K528" s="69">
        <f>IF(J528=biret,biretpris," ")</f>
        <v>0</v>
      </c>
      <c r="L528" s="68"/>
      <c r="M528" s="70"/>
      <c r="N528" s="68"/>
      <c r="O528" s="70"/>
      <c r="P528" s="66"/>
    </row>
    <row r="529" spans="2:16" x14ac:dyDescent="0.25">
      <c r="B529" s="71" t="str">
        <f>IF(Tilmeldingsoversigt!$C$11="x",mellemmåltid," ")</f>
        <v xml:space="preserve"> </v>
      </c>
      <c r="C529" s="72" t="str">
        <f>IF(B529=mellemmåltid,mellemmåltidspris," ")</f>
        <v xml:space="preserve"> </v>
      </c>
      <c r="D529" s="71" t="str">
        <f>IF(Tilmeldingsoversigt!$C$11="x",mellemmåltid," ")</f>
        <v xml:space="preserve"> </v>
      </c>
      <c r="E529" s="72" t="str">
        <f>IF(D529=mellemmåltid,mellemmåltidspris," ")</f>
        <v xml:space="preserve"> </v>
      </c>
      <c r="F529" s="71" t="str">
        <f>IF(Tilmeldingsoversigt!$C$11="x",mellemmåltid," ")</f>
        <v xml:space="preserve"> </v>
      </c>
      <c r="G529" s="72" t="str">
        <f>IF(F529=mellemmåltid,mellemmåltidspris," ")</f>
        <v xml:space="preserve"> </v>
      </c>
      <c r="H529" s="71" t="str">
        <f>IF(Tilmeldingsoversigt!$C$11="x",mellemmåltid," ")</f>
        <v xml:space="preserve"> </v>
      </c>
      <c r="I529" s="73" t="str">
        <f>IF(H529=mellemmåltid,mellemmåltidspris," ")</f>
        <v xml:space="preserve"> </v>
      </c>
      <c r="J529" s="71" t="str">
        <f>IF(Tilmeldingsoversigt!$C$11="x",mellemmåltid," ")</f>
        <v xml:space="preserve"> </v>
      </c>
      <c r="K529" s="72" t="str">
        <f>IF(J529=mellemmåltid,mellemmåltidspris," ")</f>
        <v xml:space="preserve"> </v>
      </c>
      <c r="L529" s="71"/>
      <c r="M529" s="73"/>
      <c r="N529" s="71"/>
      <c r="O529" s="73"/>
      <c r="P529" s="66"/>
    </row>
    <row r="530" spans="2:16" x14ac:dyDescent="0.25">
      <c r="B530" s="74" t="s">
        <v>44</v>
      </c>
      <c r="C530" s="11">
        <f ca="1">SUM(C525:C529)</f>
        <v>99.311475409836063</v>
      </c>
      <c r="D530" s="74"/>
      <c r="E530" s="11">
        <f ca="1">SUM(E525:E529)</f>
        <v>99.311475409836063</v>
      </c>
      <c r="F530" s="74"/>
      <c r="G530" s="11">
        <f ca="1">SUM(G525:G529)</f>
        <v>99.311475409836063</v>
      </c>
      <c r="H530" s="74"/>
      <c r="I530" s="11">
        <f ca="1">SUM(I525:I529)</f>
        <v>99.311475409836063</v>
      </c>
      <c r="J530" s="74"/>
      <c r="K530" s="11">
        <f ca="1">SUM(K525:K529)</f>
        <v>99.311475409836063</v>
      </c>
      <c r="L530" s="74"/>
      <c r="M530" s="11">
        <f>SUM(M525:M529)</f>
        <v>0</v>
      </c>
      <c r="N530" s="74"/>
      <c r="O530" s="12">
        <f>SUM(O525:O529)</f>
        <v>0</v>
      </c>
      <c r="P530" s="75">
        <f ca="1">SUMIF(B523:N523,"&gt;="&amp;15,C530:O530)</f>
        <v>496.55737704918033</v>
      </c>
    </row>
    <row r="531" spans="2:16" x14ac:dyDescent="0.2">
      <c r="B531" s="76"/>
      <c r="C531" s="77"/>
      <c r="D531" s="77"/>
      <c r="E531" s="77"/>
      <c r="F531" s="77"/>
      <c r="G531" s="77"/>
      <c r="H531" s="77"/>
      <c r="I531" s="77"/>
      <c r="J531" s="77"/>
      <c r="K531" s="77"/>
      <c r="L531" s="77"/>
      <c r="M531" s="77"/>
      <c r="N531" s="77"/>
      <c r="O531" s="77"/>
      <c r="P531" s="76"/>
    </row>
    <row r="532" spans="2:16" ht="12.75" hidden="1" x14ac:dyDescent="0.25">
      <c r="B532" s="78">
        <f>DAY(IF(DAY(SepSøn1)=1,SepSøn1+29,SepSøn1+36))</f>
        <v>30</v>
      </c>
      <c r="C532" s="91"/>
      <c r="D532" s="78">
        <f>DAY(IF(DAY(SepSøn1)=1,SepSøn1+30,SepSøn1+37))</f>
        <v>1</v>
      </c>
      <c r="E532" s="79"/>
      <c r="F532" s="92">
        <f>DAY(IF(DAY(SepSøn1)=1,SepSøn1+31,SepSøn1+38))</f>
        <v>2</v>
      </c>
      <c r="G532" s="79"/>
      <c r="H532" s="78">
        <f>DAY(IF(DAY(SepSøn1)=1,SepSøn1+32,SepSøn1+39))</f>
        <v>3</v>
      </c>
      <c r="I532" s="79"/>
      <c r="J532" s="78">
        <f>DAY(IF(DAY(SepSøn1)=1,SepSøn1+33,SepSøn1+40))</f>
        <v>4</v>
      </c>
      <c r="K532" s="79"/>
      <c r="L532" s="78">
        <f>DAY(IF(DAY(SepSøn1)=1,SepSøn1+34,SepSøn1+41))</f>
        <v>5</v>
      </c>
      <c r="M532" s="79"/>
      <c r="N532" s="78">
        <f>DAY(IF(DAY(SepSøn1)=1,SepSøn1+35,SepSøn1+42))</f>
        <v>6</v>
      </c>
      <c r="O532" s="79"/>
      <c r="P532" s="85"/>
    </row>
    <row r="533" spans="2:16" hidden="1" x14ac:dyDescent="0.25">
      <c r="B533" s="64" t="s">
        <v>42</v>
      </c>
      <c r="C533" s="81" t="s">
        <v>43</v>
      </c>
      <c r="D533" s="64" t="s">
        <v>42</v>
      </c>
      <c r="E533" s="81" t="s">
        <v>43</v>
      </c>
      <c r="F533" s="64" t="s">
        <v>42</v>
      </c>
      <c r="G533" s="81" t="s">
        <v>43</v>
      </c>
      <c r="H533" s="64" t="s">
        <v>42</v>
      </c>
      <c r="I533" s="81" t="s">
        <v>43</v>
      </c>
      <c r="J533" s="64" t="s">
        <v>42</v>
      </c>
      <c r="K533" s="81" t="s">
        <v>43</v>
      </c>
      <c r="L533" s="64" t="s">
        <v>42</v>
      </c>
      <c r="M533" s="81" t="s">
        <v>43</v>
      </c>
      <c r="N533" s="64" t="s">
        <v>42</v>
      </c>
      <c r="O533" s="82" t="s">
        <v>43</v>
      </c>
      <c r="P533" s="66"/>
    </row>
    <row r="534" spans="2:16" hidden="1" x14ac:dyDescent="0.25">
      <c r="B534" s="136"/>
      <c r="C534" s="67"/>
      <c r="D534" s="136"/>
      <c r="E534" s="67"/>
      <c r="F534" s="136"/>
      <c r="G534" s="67"/>
      <c r="H534" s="136"/>
      <c r="I534" s="67"/>
      <c r="J534" s="136"/>
      <c r="K534" s="67"/>
      <c r="L534" s="136"/>
      <c r="M534" s="67"/>
      <c r="N534" s="136"/>
      <c r="O534" s="83" t="str">
        <f>IF(N534=Morgenmad,Tilmeldingsoversigt!$C$15," ")</f>
        <v xml:space="preserve"> </v>
      </c>
      <c r="P534" s="66"/>
    </row>
    <row r="535" spans="2:16" hidden="1" x14ac:dyDescent="0.25">
      <c r="B535" s="68"/>
      <c r="C535" s="69"/>
      <c r="D535" s="68"/>
      <c r="E535" s="69"/>
      <c r="F535" s="68"/>
      <c r="G535" s="69"/>
      <c r="H535" s="68"/>
      <c r="I535" s="69"/>
      <c r="J535" s="68"/>
      <c r="K535" s="69"/>
      <c r="L535" s="68"/>
      <c r="M535" s="69"/>
      <c r="N535" s="68"/>
      <c r="O535" s="70" t="str">
        <f>IF(N535=hovedret,Tilmeldingsoversigt!$C$16," ")</f>
        <v xml:space="preserve"> </v>
      </c>
      <c r="P535" s="66"/>
    </row>
    <row r="536" spans="2:16" hidden="1" x14ac:dyDescent="0.25">
      <c r="B536" s="68"/>
      <c r="C536" s="69"/>
      <c r="D536" s="68"/>
      <c r="E536" s="69"/>
      <c r="F536" s="68"/>
      <c r="G536" s="69"/>
      <c r="H536" s="68"/>
      <c r="I536" s="69"/>
      <c r="J536" s="68"/>
      <c r="K536" s="69"/>
      <c r="L536" s="68"/>
      <c r="M536" s="69"/>
      <c r="N536" s="68"/>
      <c r="O536" s="70" t="str">
        <f>IF(N536=Aftensmad,Tilmeldingsoversigt!$C$17," ")</f>
        <v xml:space="preserve"> </v>
      </c>
      <c r="P536" s="66"/>
    </row>
    <row r="537" spans="2:16" hidden="1" x14ac:dyDescent="0.25">
      <c r="B537" s="68"/>
      <c r="C537" s="69"/>
      <c r="D537" s="68"/>
      <c r="E537" s="69"/>
      <c r="F537" s="68"/>
      <c r="G537" s="69"/>
      <c r="H537" s="68"/>
      <c r="I537" s="69"/>
      <c r="J537" s="68"/>
      <c r="K537" s="69"/>
      <c r="L537" s="68"/>
      <c r="M537" s="69"/>
      <c r="N537" s="68"/>
      <c r="O537" s="70"/>
      <c r="P537" s="66"/>
    </row>
    <row r="538" spans="2:16" hidden="1" x14ac:dyDescent="0.25">
      <c r="B538" s="71"/>
      <c r="C538" s="72"/>
      <c r="D538" s="71"/>
      <c r="E538" s="72"/>
      <c r="F538" s="71"/>
      <c r="G538" s="72"/>
      <c r="H538" s="71"/>
      <c r="I538" s="72"/>
      <c r="J538" s="71"/>
      <c r="K538" s="72"/>
      <c r="L538" s="71"/>
      <c r="M538" s="72"/>
      <c r="N538" s="71"/>
      <c r="O538" s="73"/>
      <c r="P538" s="66"/>
    </row>
    <row r="539" spans="2:16" hidden="1" x14ac:dyDescent="0.25">
      <c r="B539" s="74" t="s">
        <v>44</v>
      </c>
      <c r="C539" s="11">
        <f>SUM(C534:C538)</f>
        <v>0</v>
      </c>
      <c r="D539" s="74"/>
      <c r="E539" s="11">
        <f>SUM(E534:E538)</f>
        <v>0</v>
      </c>
      <c r="F539" s="74"/>
      <c r="G539" s="11">
        <f>SUM(G534:G538)</f>
        <v>0</v>
      </c>
      <c r="H539" s="74"/>
      <c r="I539" s="11">
        <f>SUM(I534:I538)</f>
        <v>0</v>
      </c>
      <c r="J539" s="74"/>
      <c r="K539" s="11">
        <f>SUM(K534:K538)</f>
        <v>0</v>
      </c>
      <c r="L539" s="74"/>
      <c r="M539" s="11">
        <f>SUM(M534:M538)</f>
        <v>0</v>
      </c>
      <c r="N539" s="74"/>
      <c r="O539" s="12">
        <f>SUM(O534:O538)</f>
        <v>0</v>
      </c>
      <c r="P539" s="75">
        <f>SUMIF(B532:N532,"&gt;="&amp;15,C539:O539)</f>
        <v>0</v>
      </c>
    </row>
    <row r="540" spans="2:16" ht="17.25" hidden="1" customHeight="1" x14ac:dyDescent="0.2"/>
    <row r="541" spans="2:16" ht="12" x14ac:dyDescent="0.2">
      <c r="B541" s="246" t="s">
        <v>53</v>
      </c>
      <c r="C541" s="246"/>
      <c r="D541" s="246"/>
      <c r="E541" s="246"/>
      <c r="F541" s="49"/>
      <c r="G541" s="132">
        <f ca="1">Tilmeldingsoversigt!$E$15-(31-'Tilmeldte måltider'!G542)*Morgenpris</f>
        <v>511</v>
      </c>
      <c r="H541" s="49"/>
      <c r="I541" s="132">
        <f ca="1">Tilmeldingsoversigt!$E$16-(31-'Tilmeldte måltider'!I542)*Frokostpris</f>
        <v>1678</v>
      </c>
      <c r="J541" s="49"/>
      <c r="K541" s="132">
        <f ca="1">Tilmeldingsoversigt!$E$17-(31-'Tilmeldte måltider'!K542)*Aftenpris</f>
        <v>840</v>
      </c>
      <c r="L541" s="247" t="s">
        <v>32</v>
      </c>
      <c r="M541" s="247"/>
      <c r="N541" s="247" t="s">
        <v>33</v>
      </c>
      <c r="O541" s="247"/>
      <c r="P541" s="49"/>
    </row>
    <row r="542" spans="2:16" ht="25.5" customHeight="1" x14ac:dyDescent="0.25">
      <c r="B542" s="246"/>
      <c r="C542" s="246"/>
      <c r="D542" s="246"/>
      <c r="E542" s="246"/>
      <c r="F542" s="97" t="str">
        <f>Morgenmad</f>
        <v>Morgenmad</v>
      </c>
      <c r="G542" s="97">
        <f ca="1">IF(L543=FALSE,0,(COUNTIF(B548:O598,Morgenmad)))</f>
        <v>31</v>
      </c>
      <c r="H542" s="97" t="str">
        <f>hovedret</f>
        <v>Hovedret</v>
      </c>
      <c r="I542" s="97">
        <f ca="1">IF(L543=FALSE,0,(COUNTIF(B548:O598,hovedret)))</f>
        <v>31</v>
      </c>
      <c r="J542" s="97" t="str">
        <f>Aftensmad</f>
        <v>Aftensmad</v>
      </c>
      <c r="K542" s="97">
        <f ca="1">IF(L543=FALSE,0,(COUNTIF(B549:O598,Aftensmad)))</f>
        <v>31</v>
      </c>
      <c r="L542" s="248">
        <f ca="1">IF(oktober_sum=0,0,månedligtotal)</f>
        <v>3000</v>
      </c>
      <c r="M542" s="249"/>
      <c r="N542" s="248">
        <f ca="1">hovedtotal</f>
        <v>36000.409836065577</v>
      </c>
      <c r="O542" s="250"/>
      <c r="P542" s="49"/>
    </row>
    <row r="543" spans="2:16" ht="25.5" customHeight="1" x14ac:dyDescent="0.45">
      <c r="B543" s="121"/>
      <c r="C543" s="121"/>
      <c r="D543" s="121"/>
      <c r="E543" s="121"/>
      <c r="F543" s="98" t="str">
        <f>biret</f>
        <v>Biret</v>
      </c>
      <c r="G543" s="97">
        <f ca="1">IF(oktober_sum=0,0,(COUNTIF($B$548:$O$597,biret)))</f>
        <v>31</v>
      </c>
      <c r="H543" s="98" t="str">
        <f>mellemmåltid</f>
        <v>Mellemmåltid</v>
      </c>
      <c r="I543" s="97">
        <f ca="1">IF(oktober_sum=0,0,(COUNTIF($B$548:$O$597,mellemmåltid)))</f>
        <v>0</v>
      </c>
      <c r="J543" s="98"/>
      <c r="K543" s="98"/>
      <c r="L543" s="243" t="b">
        <f>IF(AND(L544,N544)=TRUE,TRUE,FALSE)</f>
        <v>1</v>
      </c>
      <c r="M543" s="244"/>
      <c r="N543" s="137">
        <f ca="1">G541+I541+K541</f>
        <v>3029</v>
      </c>
      <c r="O543" s="137"/>
      <c r="P543" s="49"/>
    </row>
    <row r="544" spans="2:16" ht="25.5" hidden="1" customHeight="1" x14ac:dyDescent="0.45">
      <c r="B544" s="121"/>
      <c r="C544" s="121"/>
      <c r="D544" s="121"/>
      <c r="E544" s="121"/>
      <c r="F544" s="138"/>
      <c r="G544" s="138"/>
      <c r="H544" s="138"/>
      <c r="I544" s="138"/>
      <c r="J544" s="138"/>
      <c r="K544" s="138"/>
      <c r="L544" s="242" t="b">
        <f>IF(OR(VLOOKUP(start_måned,Dataark!$C$5:$D$16,2,FALSE)&lt;=10,$L$484=TRUE),TRUE,FALSE)</f>
        <v>1</v>
      </c>
      <c r="M544" s="242"/>
      <c r="N544" s="242" t="b">
        <f>IF(AND(VLOOKUP(slut_måned,Dataark!$C$5:$D$16,2,FALSE)&gt;=10,L544=TRUE),TRUE,FALSE)</f>
        <v>1</v>
      </c>
      <c r="O544" s="242"/>
      <c r="P544" s="49"/>
    </row>
    <row r="545" spans="2:16" ht="9" customHeight="1" x14ac:dyDescent="0.2">
      <c r="B545" s="251">
        <v>1</v>
      </c>
      <c r="C545" s="251"/>
      <c r="D545" s="251">
        <v>2</v>
      </c>
      <c r="E545" s="251"/>
      <c r="F545" s="251">
        <v>3</v>
      </c>
      <c r="G545" s="251"/>
      <c r="H545" s="251">
        <v>4</v>
      </c>
      <c r="I545" s="251"/>
      <c r="J545" s="251">
        <v>5</v>
      </c>
      <c r="K545" s="251"/>
      <c r="L545" s="251">
        <v>6</v>
      </c>
      <c r="M545" s="251"/>
      <c r="N545" s="251">
        <v>7</v>
      </c>
      <c r="O545" s="251"/>
      <c r="P545" s="135">
        <f ca="1">IF(L543=TRUE,(N543),0)</f>
        <v>3029</v>
      </c>
    </row>
    <row r="546" spans="2:16" ht="15" customHeight="1" x14ac:dyDescent="0.25">
      <c r="B546" s="252" t="s">
        <v>34</v>
      </c>
      <c r="C546" s="253"/>
      <c r="D546" s="254" t="s">
        <v>35</v>
      </c>
      <c r="E546" s="255" t="e">
        <f>IF(WEEKDAY(DATEVALUE(Month1&amp;" 1, "&amp;Year1))=COLUMN(#REF!),1,IF(LEN(C546)&gt;0,C546+1,""))</f>
        <v>#NAME?</v>
      </c>
      <c r="F546" s="253" t="s">
        <v>36</v>
      </c>
      <c r="G546" s="253" t="e">
        <f>IF(WEEKDAY(DATEVALUE(Month1&amp;" 1, "&amp;Year1))=COLUMN(#REF!),1,IF(LEN(E546)&gt;0,E546+1,""))</f>
        <v>#NAME?</v>
      </c>
      <c r="H546" s="254" t="s">
        <v>37</v>
      </c>
      <c r="I546" s="255" t="e">
        <f>IF(WEEKDAY(DATEVALUE(Month1&amp;" 1, "&amp;Year1))=COLUMN(#REF!),1,IF(LEN(G546)&gt;0,G546+1,""))</f>
        <v>#NAME?</v>
      </c>
      <c r="J546" s="256" t="s">
        <v>38</v>
      </c>
      <c r="K546" s="257" t="e">
        <f>IF(WEEKDAY(DATEVALUE(Month1&amp;" 1, "&amp;Year1))=COLUMN(#REF!),1,IF(LEN(I546)&gt;0,I546+1,""))</f>
        <v>#NAME?</v>
      </c>
      <c r="L546" s="258" t="s">
        <v>39</v>
      </c>
      <c r="M546" s="259" t="e">
        <f>IF(WEEKDAY(DATEVALUE(Month1&amp;" 1, "&amp;Year1))=COLUMN(#REF!),1,IF(LEN(K546)&gt;0,K546+1,""))</f>
        <v>#NAME?</v>
      </c>
      <c r="N546" s="258" t="s">
        <v>40</v>
      </c>
      <c r="O546" s="259" t="e">
        <f>IF(WEEKDAY(DATEVALUE(Month1&amp;" 1, "&amp;Year1))=COLUMN(#REF!),1,IF(LEN(M546)&gt;0,M546+1,""))</f>
        <v>#NAME?</v>
      </c>
      <c r="P546" s="53" t="s">
        <v>41</v>
      </c>
    </row>
    <row r="547" spans="2:16" ht="12.75" x14ac:dyDescent="0.25">
      <c r="B547" s="55">
        <f>DAY(IF(DAY(OktSøn1)=1,OktSøn1-6,OktSøn1+1))</f>
        <v>30</v>
      </c>
      <c r="C547" s="56"/>
      <c r="D547" s="57">
        <f>DAY(IF(DAY(OktSøn1)=1,OktSøn1-5,OktSøn1+2))</f>
        <v>1</v>
      </c>
      <c r="E547" s="56"/>
      <c r="F547" s="57">
        <f>DAY(IF(DAY(OktSøn1)=1,OktSøn1-4,OktSøn1+3))</f>
        <v>2</v>
      </c>
      <c r="G547" s="56"/>
      <c r="H547" s="57">
        <f>DAY(IF(DAY(OktSøn1)=1,OktSøn1-3,OktSøn1+4))</f>
        <v>3</v>
      </c>
      <c r="I547" s="56"/>
      <c r="J547" s="57">
        <f>DAY(IF(DAY(OktSøn1)=1,OktSøn1-2,OktSøn1+5))</f>
        <v>4</v>
      </c>
      <c r="K547" s="56"/>
      <c r="L547" s="57">
        <f>DAY(IF(DAY(OktSøn1)=1,OktSøn1-1,OktSøn1+6))</f>
        <v>5</v>
      </c>
      <c r="M547" s="56"/>
      <c r="N547" s="58">
        <f>DAY(IF(DAY(OktSøn1)=1,OktSøn1,OktSøn1+7))</f>
        <v>6</v>
      </c>
      <c r="O547" s="59"/>
      <c r="P547" s="60"/>
    </row>
    <row r="548" spans="2:16" x14ac:dyDescent="0.25">
      <c r="B548" s="61" t="s">
        <v>42</v>
      </c>
      <c r="C548" s="62" t="s">
        <v>43</v>
      </c>
      <c r="D548" s="63" t="s">
        <v>42</v>
      </c>
      <c r="E548" s="62" t="s">
        <v>43</v>
      </c>
      <c r="F548" s="63" t="s">
        <v>42</v>
      </c>
      <c r="G548" s="62" t="s">
        <v>43</v>
      </c>
      <c r="H548" s="63" t="s">
        <v>42</v>
      </c>
      <c r="I548" s="62" t="s">
        <v>43</v>
      </c>
      <c r="J548" s="63" t="s">
        <v>42</v>
      </c>
      <c r="K548" s="62" t="s">
        <v>43</v>
      </c>
      <c r="L548" s="63" t="s">
        <v>42</v>
      </c>
      <c r="M548" s="62" t="s">
        <v>43</v>
      </c>
      <c r="N548" s="64" t="s">
        <v>42</v>
      </c>
      <c r="O548" s="65" t="s">
        <v>43</v>
      </c>
      <c r="P548" s="66"/>
    </row>
    <row r="549" spans="2:16" x14ac:dyDescent="0.25">
      <c r="B549" s="136"/>
      <c r="C549" s="67"/>
      <c r="D549" s="136"/>
      <c r="E549" s="67"/>
      <c r="F549" s="136"/>
      <c r="G549" s="67"/>
      <c r="H549" s="136"/>
      <c r="I549" s="67"/>
      <c r="J549" s="136"/>
      <c r="K549" s="67"/>
      <c r="L549" s="136" t="str">
        <f>IF(Tilmeldingsoversigt!$H$7="x",Morgenmad," ")</f>
        <v>Morgenmad</v>
      </c>
      <c r="M549" s="67">
        <f ca="1">IF(L549=Morgenmad,Tilmeldingsoversigt!$C$15," ")</f>
        <v>16.754098360655739</v>
      </c>
      <c r="N549" s="136" t="str">
        <f>IF(Tilmeldingsoversigt!$I$7="x",Morgenmad," ")</f>
        <v>Morgenmad</v>
      </c>
      <c r="O549" s="83">
        <f ca="1">IF(N549=Morgenmad,Tilmeldingsoversigt!$C$15," ")</f>
        <v>16.754098360655739</v>
      </c>
      <c r="P549" s="66"/>
    </row>
    <row r="550" spans="2:16" x14ac:dyDescent="0.25">
      <c r="B550" s="68"/>
      <c r="C550" s="69"/>
      <c r="D550" s="68"/>
      <c r="E550" s="69"/>
      <c r="F550" s="68"/>
      <c r="G550" s="69"/>
      <c r="H550" s="68"/>
      <c r="I550" s="69"/>
      <c r="J550" s="68"/>
      <c r="K550" s="69"/>
      <c r="L550" s="68" t="str">
        <f>IF(Tilmeldingsoversigt!$H$8="x",hovedret," ")</f>
        <v>Hovedret</v>
      </c>
      <c r="M550" s="69">
        <f ca="1">IF(L550=hovedret,Tilmeldingsoversigt!$C$16," ")</f>
        <v>55.016393442622949</v>
      </c>
      <c r="N550" s="68" t="str">
        <f>IF(Tilmeldingsoversigt!$I$8="x",hovedret," ")</f>
        <v>Hovedret</v>
      </c>
      <c r="O550" s="70">
        <f ca="1">IF(N550=hovedret,Tilmeldingsoversigt!$C$16," ")</f>
        <v>55.016393442622949</v>
      </c>
      <c r="P550" s="66"/>
    </row>
    <row r="551" spans="2:16" x14ac:dyDescent="0.25">
      <c r="B551" s="68"/>
      <c r="C551" s="69"/>
      <c r="D551" s="68"/>
      <c r="E551" s="69"/>
      <c r="F551" s="68"/>
      <c r="G551" s="69"/>
      <c r="H551" s="68"/>
      <c r="I551" s="69"/>
      <c r="J551" s="68"/>
      <c r="K551" s="69"/>
      <c r="L551" s="68" t="str">
        <f>IF(Tilmeldingsoversigt!$H$9="x",Aftensmad," ")</f>
        <v>Aftensmad</v>
      </c>
      <c r="M551" s="69">
        <f ca="1">IF(L551=Aftensmad,Tilmeldingsoversigt!$C$17," ")</f>
        <v>27.540983606557376</v>
      </c>
      <c r="N551" s="68" t="str">
        <f>IF(Tilmeldingsoversigt!$I$9="x",Aftensmad," ")</f>
        <v>Aftensmad</v>
      </c>
      <c r="O551" s="70">
        <f ca="1">IF(N551=Aftensmad,Tilmeldingsoversigt!$C$17," ")</f>
        <v>27.540983606557376</v>
      </c>
      <c r="P551" s="66"/>
    </row>
    <row r="552" spans="2:16" x14ac:dyDescent="0.25">
      <c r="B552" s="68"/>
      <c r="C552" s="69"/>
      <c r="D552" s="68"/>
      <c r="E552" s="69"/>
      <c r="F552" s="68"/>
      <c r="G552" s="69"/>
      <c r="H552" s="68"/>
      <c r="I552" s="70"/>
      <c r="J552" s="68"/>
      <c r="K552" s="69"/>
      <c r="L552" s="68" t="str">
        <f>IF(Tilmeldingsoversigt!$H$10="x",biret," ")</f>
        <v>Biret</v>
      </c>
      <c r="M552" s="70">
        <f>IF(L552=biret,biretpris," ")</f>
        <v>0</v>
      </c>
      <c r="N552" s="68" t="str">
        <f>IF(Tilmeldingsoversigt!$I$10="x",biret," ")</f>
        <v>Biret</v>
      </c>
      <c r="O552" s="70">
        <f>IF(N552=biret,biretpris," ")</f>
        <v>0</v>
      </c>
      <c r="P552" s="66"/>
    </row>
    <row r="553" spans="2:16" x14ac:dyDescent="0.25">
      <c r="B553" s="71"/>
      <c r="C553" s="72"/>
      <c r="D553" s="71"/>
      <c r="E553" s="72"/>
      <c r="F553" s="71"/>
      <c r="G553" s="72"/>
      <c r="H553" s="71"/>
      <c r="I553" s="73"/>
      <c r="J553" s="71"/>
      <c r="K553" s="72"/>
      <c r="L553" s="71" t="str">
        <f>IF(Tilmeldingsoversigt!$C$11="x",mellemmåltid," ")</f>
        <v xml:space="preserve"> </v>
      </c>
      <c r="M553" s="73" t="str">
        <f>IF(L553=mellemmåltid,mellemmåltidspris," ")</f>
        <v xml:space="preserve"> </v>
      </c>
      <c r="N553" s="71" t="str">
        <f>IF(Tilmeldingsoversigt!$C$11="x",mellemmåltid," ")</f>
        <v xml:space="preserve"> </v>
      </c>
      <c r="O553" s="73" t="str">
        <f>IF(N553=mellemmåltid,mellemmåltidspris," ")</f>
        <v xml:space="preserve"> </v>
      </c>
      <c r="P553" s="66"/>
    </row>
    <row r="554" spans="2:16" x14ac:dyDescent="0.25">
      <c r="B554" s="74"/>
      <c r="C554" s="11"/>
      <c r="D554" s="74"/>
      <c r="E554" s="11"/>
      <c r="F554" s="74"/>
      <c r="G554" s="11"/>
      <c r="H554" s="74"/>
      <c r="I554" s="11">
        <f>SUM(I549:I553)</f>
        <v>0</v>
      </c>
      <c r="J554" s="74"/>
      <c r="K554" s="11">
        <f>SUM(K549:K553)</f>
        <v>0</v>
      </c>
      <c r="L554" s="74"/>
      <c r="M554" s="11">
        <f ca="1">SUM(M549:M553)</f>
        <v>99.311475409836063</v>
      </c>
      <c r="N554" s="74"/>
      <c r="O554" s="12">
        <f ca="1">SUM(O549:O553)</f>
        <v>99.311475409836063</v>
      </c>
      <c r="P554" s="75">
        <f ca="1">SUMIF(B547:N547,"&lt;8",C554:O554)</f>
        <v>198.62295081967213</v>
      </c>
    </row>
    <row r="555" spans="2:16" x14ac:dyDescent="0.2">
      <c r="B555" s="76"/>
      <c r="C555" s="77"/>
      <c r="D555" s="77"/>
      <c r="E555" s="77"/>
      <c r="F555" s="77"/>
      <c r="G555" s="77"/>
      <c r="H555" s="77"/>
      <c r="I555" s="77"/>
      <c r="J555" s="77"/>
      <c r="K555" s="77"/>
      <c r="L555" s="77"/>
      <c r="M555" s="77"/>
      <c r="N555" s="77"/>
      <c r="O555" s="77"/>
      <c r="P555" s="76"/>
    </row>
    <row r="556" spans="2:16" ht="12.75" x14ac:dyDescent="0.25">
      <c r="B556" s="78">
        <f>N547+1</f>
        <v>7</v>
      </c>
      <c r="C556" s="79"/>
      <c r="D556" s="78">
        <f>B556+1</f>
        <v>8</v>
      </c>
      <c r="E556" s="79"/>
      <c r="F556" s="78">
        <f>D556+1</f>
        <v>9</v>
      </c>
      <c r="G556" s="79"/>
      <c r="H556" s="78">
        <f>F556+1</f>
        <v>10</v>
      </c>
      <c r="I556" s="79"/>
      <c r="J556" s="78">
        <f>H556+1</f>
        <v>11</v>
      </c>
      <c r="K556" s="79"/>
      <c r="L556" s="78">
        <f>J556+1</f>
        <v>12</v>
      </c>
      <c r="M556" s="79"/>
      <c r="N556" s="78">
        <f>L556+1</f>
        <v>13</v>
      </c>
      <c r="O556" s="79"/>
      <c r="P556" s="80"/>
    </row>
    <row r="557" spans="2:16" x14ac:dyDescent="0.25">
      <c r="B557" s="64" t="s">
        <v>42</v>
      </c>
      <c r="C557" s="81" t="s">
        <v>43</v>
      </c>
      <c r="D557" s="64" t="s">
        <v>42</v>
      </c>
      <c r="E557" s="81" t="s">
        <v>43</v>
      </c>
      <c r="F557" s="64" t="s">
        <v>42</v>
      </c>
      <c r="G557" s="81" t="s">
        <v>43</v>
      </c>
      <c r="H557" s="64" t="s">
        <v>42</v>
      </c>
      <c r="I557" s="81" t="s">
        <v>43</v>
      </c>
      <c r="J557" s="64" t="s">
        <v>42</v>
      </c>
      <c r="K557" s="81" t="s">
        <v>43</v>
      </c>
      <c r="L557" s="64" t="s">
        <v>42</v>
      </c>
      <c r="M557" s="81" t="s">
        <v>43</v>
      </c>
      <c r="N557" s="64" t="s">
        <v>42</v>
      </c>
      <c r="O557" s="82" t="s">
        <v>43</v>
      </c>
      <c r="P557" s="66"/>
    </row>
    <row r="558" spans="2:16" x14ac:dyDescent="0.25">
      <c r="B558" s="136" t="str">
        <f>IF(Tilmeldingsoversigt!$C$7="x",Morgenmad," ")</f>
        <v>Morgenmad</v>
      </c>
      <c r="C558" s="67">
        <f ca="1">IF(B558=Morgenmad,Tilmeldingsoversigt!$C$15," ")</f>
        <v>16.754098360655739</v>
      </c>
      <c r="D558" s="136" t="str">
        <f>IF(Tilmeldingsoversigt!$D$7="x",Morgenmad," ")</f>
        <v>Morgenmad</v>
      </c>
      <c r="E558" s="67">
        <f ca="1">IF(D558=Morgenmad,Tilmeldingsoversigt!$C$15," ")</f>
        <v>16.754098360655739</v>
      </c>
      <c r="F558" s="136" t="str">
        <f>IF(Tilmeldingsoversigt!$E$7="x",Morgenmad," ")</f>
        <v>Morgenmad</v>
      </c>
      <c r="G558" s="67">
        <f ca="1">IF(F558=Morgenmad,Tilmeldingsoversigt!$C$15," ")</f>
        <v>16.754098360655739</v>
      </c>
      <c r="H558" s="136" t="str">
        <f>IF(Tilmeldingsoversigt!$F$7="x",Morgenmad," ")</f>
        <v>Morgenmad</v>
      </c>
      <c r="I558" s="67">
        <f ca="1">IF(H558=Morgenmad,Tilmeldingsoversigt!$C$15," ")</f>
        <v>16.754098360655739</v>
      </c>
      <c r="J558" s="136" t="str">
        <f>IF(Tilmeldingsoversigt!$G$7="x",Morgenmad," ")</f>
        <v>Morgenmad</v>
      </c>
      <c r="K558" s="67">
        <f ca="1">IF(J558=Morgenmad,Tilmeldingsoversigt!$C$15," ")</f>
        <v>16.754098360655739</v>
      </c>
      <c r="L558" s="136" t="str">
        <f>IF(Tilmeldingsoversigt!$H$7="x",Morgenmad," ")</f>
        <v>Morgenmad</v>
      </c>
      <c r="M558" s="67">
        <f ca="1">IF(L558=Morgenmad,Tilmeldingsoversigt!$C$15," ")</f>
        <v>16.754098360655739</v>
      </c>
      <c r="N558" s="136" t="str">
        <f>IF(Tilmeldingsoversigt!$I$7="x",Morgenmad," ")</f>
        <v>Morgenmad</v>
      </c>
      <c r="O558" s="83">
        <f ca="1">IF(N558=Morgenmad,Tilmeldingsoversigt!$C$15," ")</f>
        <v>16.754098360655739</v>
      </c>
      <c r="P558" s="66"/>
    </row>
    <row r="559" spans="2:16" x14ac:dyDescent="0.25">
      <c r="B559" s="68" t="str">
        <f>IF(Tilmeldingsoversigt!$C$8="x",hovedret," ")</f>
        <v>Hovedret</v>
      </c>
      <c r="C559" s="69">
        <f ca="1">IF(B559=hovedret,Tilmeldingsoversigt!$C$16," ")</f>
        <v>55.016393442622949</v>
      </c>
      <c r="D559" s="68" t="str">
        <f>IF(Tilmeldingsoversigt!$D$8="x",hovedret," ")</f>
        <v>Hovedret</v>
      </c>
      <c r="E559" s="69">
        <f ca="1">IF(D559=hovedret,Tilmeldingsoversigt!$C$16," ")</f>
        <v>55.016393442622949</v>
      </c>
      <c r="F559" s="68" t="str">
        <f>IF(Tilmeldingsoversigt!$E$8="x",hovedret," ")</f>
        <v>Hovedret</v>
      </c>
      <c r="G559" s="69">
        <f ca="1">IF(F559=hovedret,Tilmeldingsoversigt!$C$16," ")</f>
        <v>55.016393442622949</v>
      </c>
      <c r="H559" s="68" t="str">
        <f>IF(Tilmeldingsoversigt!$F$8="x",hovedret," ")</f>
        <v>Hovedret</v>
      </c>
      <c r="I559" s="69">
        <f ca="1">IF(H559=hovedret,Tilmeldingsoversigt!$C$16," ")</f>
        <v>55.016393442622949</v>
      </c>
      <c r="J559" s="68" t="str">
        <f>IF(Tilmeldingsoversigt!$G$8="x",hovedret," ")</f>
        <v>Hovedret</v>
      </c>
      <c r="K559" s="69">
        <f ca="1">IF(J559=hovedret,Tilmeldingsoversigt!$C$16," ")</f>
        <v>55.016393442622949</v>
      </c>
      <c r="L559" s="68" t="str">
        <f>IF(Tilmeldingsoversigt!$H$8="x",hovedret," ")</f>
        <v>Hovedret</v>
      </c>
      <c r="M559" s="69">
        <f ca="1">IF(L559=hovedret,Tilmeldingsoversigt!$C$16," ")</f>
        <v>55.016393442622949</v>
      </c>
      <c r="N559" s="68" t="str">
        <f>IF(Tilmeldingsoversigt!$I$8="x",hovedret," ")</f>
        <v>Hovedret</v>
      </c>
      <c r="O559" s="70">
        <f ca="1">IF(N559=hovedret,Tilmeldingsoversigt!$C$16," ")</f>
        <v>55.016393442622949</v>
      </c>
      <c r="P559" s="66"/>
    </row>
    <row r="560" spans="2:16" x14ac:dyDescent="0.25">
      <c r="B560" s="68" t="str">
        <f>IF(Tilmeldingsoversigt!$C$9="x",Aftensmad," ")</f>
        <v>Aftensmad</v>
      </c>
      <c r="C560" s="69">
        <f ca="1">IF(B560=Aftensmad,Tilmeldingsoversigt!$C$17," ")</f>
        <v>27.540983606557376</v>
      </c>
      <c r="D560" s="68" t="str">
        <f>IF(Tilmeldingsoversigt!$D$9="x",Aftensmad," ")</f>
        <v>Aftensmad</v>
      </c>
      <c r="E560" s="69">
        <f ca="1">IF(D560=Aftensmad,Tilmeldingsoversigt!$C$17," ")</f>
        <v>27.540983606557376</v>
      </c>
      <c r="F560" s="68" t="str">
        <f>IF(Tilmeldingsoversigt!$E$9="x",Aftensmad," ")</f>
        <v>Aftensmad</v>
      </c>
      <c r="G560" s="69">
        <f ca="1">IF(F560=Aftensmad,Tilmeldingsoversigt!$C$17," ")</f>
        <v>27.540983606557376</v>
      </c>
      <c r="H560" s="68" t="str">
        <f>IF(Tilmeldingsoversigt!$F$9="x",Aftensmad," ")</f>
        <v>Aftensmad</v>
      </c>
      <c r="I560" s="69">
        <f ca="1">IF(H560=Aftensmad,Tilmeldingsoversigt!$C$17," ")</f>
        <v>27.540983606557376</v>
      </c>
      <c r="J560" s="68" t="str">
        <f>IF(Tilmeldingsoversigt!$G$9="x",Aftensmad," ")</f>
        <v>Aftensmad</v>
      </c>
      <c r="K560" s="69">
        <f ca="1">IF(J560=Aftensmad,Tilmeldingsoversigt!$C$17," ")</f>
        <v>27.540983606557376</v>
      </c>
      <c r="L560" s="68" t="str">
        <f>IF(Tilmeldingsoversigt!$H$9="x",Aftensmad," ")</f>
        <v>Aftensmad</v>
      </c>
      <c r="M560" s="69">
        <f ca="1">IF(L560=Aftensmad,Tilmeldingsoversigt!$C$17," ")</f>
        <v>27.540983606557376</v>
      </c>
      <c r="N560" s="68" t="str">
        <f>IF(Tilmeldingsoversigt!$I$9="x",Aftensmad," ")</f>
        <v>Aftensmad</v>
      </c>
      <c r="O560" s="70">
        <f ca="1">IF(N560=Aftensmad,Tilmeldingsoversigt!$C$17," ")</f>
        <v>27.540983606557376</v>
      </c>
      <c r="P560" s="66"/>
    </row>
    <row r="561" spans="2:16" x14ac:dyDescent="0.25">
      <c r="B561" s="68" t="str">
        <f>IF(Tilmeldingsoversigt!$C$10="x",biret," ")</f>
        <v>Biret</v>
      </c>
      <c r="C561" s="69">
        <f>IF(B561=biret,biretpris," ")</f>
        <v>0</v>
      </c>
      <c r="D561" s="68" t="str">
        <f>IF(Tilmeldingsoversigt!$D$10="x",biret," ")</f>
        <v>Biret</v>
      </c>
      <c r="E561" s="69">
        <f>IF(D561=biret,biretpris," ")</f>
        <v>0</v>
      </c>
      <c r="F561" s="68" t="str">
        <f>IF(Tilmeldingsoversigt!$E$10="x",biret," ")</f>
        <v>Biret</v>
      </c>
      <c r="G561" s="69">
        <f>IF(F561=biret,biretpris," ")</f>
        <v>0</v>
      </c>
      <c r="H561" s="68" t="str">
        <f>IF(Tilmeldingsoversigt!$F$10="x",biret," ")</f>
        <v>Biret</v>
      </c>
      <c r="I561" s="70">
        <f>IF(H561=biret,biretpris," ")</f>
        <v>0</v>
      </c>
      <c r="J561" s="68" t="str">
        <f>IF(Tilmeldingsoversigt!$G$10="x",biret," ")</f>
        <v>Biret</v>
      </c>
      <c r="K561" s="69">
        <f>IF(J561=biret,biretpris," ")</f>
        <v>0</v>
      </c>
      <c r="L561" s="68" t="str">
        <f>IF(Tilmeldingsoversigt!$H$10="x",biret," ")</f>
        <v>Biret</v>
      </c>
      <c r="M561" s="70">
        <f>IF(L561=biret,biretpris," ")</f>
        <v>0</v>
      </c>
      <c r="N561" s="68" t="str">
        <f>IF(Tilmeldingsoversigt!$I$10="x",biret," ")</f>
        <v>Biret</v>
      </c>
      <c r="O561" s="70">
        <f>IF(N561=biret,biretpris," ")</f>
        <v>0</v>
      </c>
      <c r="P561" s="66"/>
    </row>
    <row r="562" spans="2:16" x14ac:dyDescent="0.25">
      <c r="B562" s="71" t="str">
        <f>IF(Tilmeldingsoversigt!$C$11="x",mellemmåltid," ")</f>
        <v xml:space="preserve"> </v>
      </c>
      <c r="C562" s="72" t="str">
        <f>IF(B562=mellemmåltid,mellemmåltidspris," ")</f>
        <v xml:space="preserve"> </v>
      </c>
      <c r="D562" s="71" t="str">
        <f>IF(Tilmeldingsoversigt!$C$11="x",mellemmåltid," ")</f>
        <v xml:space="preserve"> </v>
      </c>
      <c r="E562" s="72" t="str">
        <f>IF(D562=mellemmåltid,mellemmåltidspris," ")</f>
        <v xml:space="preserve"> </v>
      </c>
      <c r="F562" s="71" t="str">
        <f>IF(Tilmeldingsoversigt!$C$11="x",mellemmåltid," ")</f>
        <v xml:space="preserve"> </v>
      </c>
      <c r="G562" s="72" t="str">
        <f>IF(F562=mellemmåltid,mellemmåltidspris," ")</f>
        <v xml:space="preserve"> </v>
      </c>
      <c r="H562" s="71" t="str">
        <f>IF(Tilmeldingsoversigt!$C$11="x",mellemmåltid," ")</f>
        <v xml:space="preserve"> </v>
      </c>
      <c r="I562" s="73" t="str">
        <f>IF(H562=mellemmåltid,mellemmåltidspris," ")</f>
        <v xml:space="preserve"> </v>
      </c>
      <c r="J562" s="71" t="str">
        <f>IF(Tilmeldingsoversigt!$C$11="x",mellemmåltid," ")</f>
        <v xml:space="preserve"> </v>
      </c>
      <c r="K562" s="72" t="str">
        <f>IF(J562=mellemmåltid,mellemmåltidspris," ")</f>
        <v xml:space="preserve"> </v>
      </c>
      <c r="L562" s="71" t="str">
        <f>IF(Tilmeldingsoversigt!$C$11="x",mellemmåltid," ")</f>
        <v xml:space="preserve"> </v>
      </c>
      <c r="M562" s="73" t="str">
        <f>IF(L562=mellemmåltid,mellemmåltidspris," ")</f>
        <v xml:space="preserve"> </v>
      </c>
      <c r="N562" s="71" t="str">
        <f>IF(Tilmeldingsoversigt!$C$11="x",mellemmåltid," ")</f>
        <v xml:space="preserve"> </v>
      </c>
      <c r="O562" s="73" t="str">
        <f>IF(N562=mellemmåltid,mellemmåltidspris," ")</f>
        <v xml:space="preserve"> </v>
      </c>
      <c r="P562" s="66"/>
    </row>
    <row r="563" spans="2:16" x14ac:dyDescent="0.25">
      <c r="B563" s="74" t="s">
        <v>44</v>
      </c>
      <c r="C563" s="11">
        <f ca="1">SUM(C558:C562)</f>
        <v>99.311475409836063</v>
      </c>
      <c r="D563" s="74"/>
      <c r="E563" s="11">
        <f ca="1">SUM(E558:E562)</f>
        <v>99.311475409836063</v>
      </c>
      <c r="F563" s="74"/>
      <c r="G563" s="11">
        <f ca="1">SUM(G558:G562)</f>
        <v>99.311475409836063</v>
      </c>
      <c r="H563" s="74"/>
      <c r="I563" s="11">
        <f ca="1">SUM(I558:I562)</f>
        <v>99.311475409836063</v>
      </c>
      <c r="J563" s="74"/>
      <c r="K563" s="11">
        <f ca="1">SUM(K558:K562)</f>
        <v>99.311475409836063</v>
      </c>
      <c r="L563" s="74"/>
      <c r="M563" s="11">
        <f ca="1">SUM(M558:M562)</f>
        <v>99.311475409836063</v>
      </c>
      <c r="N563" s="74"/>
      <c r="O563" s="12">
        <f ca="1">SUM(O558:O562)</f>
        <v>99.311475409836063</v>
      </c>
      <c r="P563" s="75">
        <f ca="1">SUM(C563,E563,G563,I563,K563,M563,O563)</f>
        <v>695.18032786885237</v>
      </c>
    </row>
    <row r="564" spans="2:16" x14ac:dyDescent="0.2">
      <c r="B564" s="76"/>
      <c r="C564" s="77"/>
      <c r="D564" s="77"/>
      <c r="E564" s="77"/>
      <c r="F564" s="77"/>
      <c r="G564" s="77"/>
      <c r="H564" s="77"/>
      <c r="I564" s="77"/>
      <c r="J564" s="77"/>
      <c r="K564" s="77"/>
      <c r="L564" s="77"/>
      <c r="M564" s="77"/>
      <c r="N564" s="77"/>
      <c r="O564" s="77"/>
      <c r="P564" s="76"/>
    </row>
    <row r="565" spans="2:16" ht="12.75" x14ac:dyDescent="0.25">
      <c r="B565" s="78">
        <f>N556+1</f>
        <v>14</v>
      </c>
      <c r="C565" s="79"/>
      <c r="D565" s="78">
        <f>B565+1</f>
        <v>15</v>
      </c>
      <c r="E565" s="79"/>
      <c r="F565" s="78">
        <f>D565+1</f>
        <v>16</v>
      </c>
      <c r="G565" s="79"/>
      <c r="H565" s="78">
        <f>F565+1</f>
        <v>17</v>
      </c>
      <c r="I565" s="79"/>
      <c r="J565" s="78">
        <f>H565+1</f>
        <v>18</v>
      </c>
      <c r="K565" s="79"/>
      <c r="L565" s="78">
        <f>J565+1</f>
        <v>19</v>
      </c>
      <c r="M565" s="79"/>
      <c r="N565" s="78">
        <f>L565+1</f>
        <v>20</v>
      </c>
      <c r="O565" s="79"/>
      <c r="P565" s="80"/>
    </row>
    <row r="566" spans="2:16" x14ac:dyDescent="0.25">
      <c r="B566" s="64" t="s">
        <v>42</v>
      </c>
      <c r="C566" s="81" t="s">
        <v>43</v>
      </c>
      <c r="D566" s="64" t="s">
        <v>42</v>
      </c>
      <c r="E566" s="81" t="s">
        <v>43</v>
      </c>
      <c r="F566" s="64" t="s">
        <v>42</v>
      </c>
      <c r="G566" s="81" t="s">
        <v>43</v>
      </c>
      <c r="H566" s="64" t="s">
        <v>42</v>
      </c>
      <c r="I566" s="81" t="s">
        <v>43</v>
      </c>
      <c r="J566" s="64" t="s">
        <v>42</v>
      </c>
      <c r="K566" s="81" t="s">
        <v>43</v>
      </c>
      <c r="L566" s="64" t="s">
        <v>42</v>
      </c>
      <c r="M566" s="81" t="s">
        <v>43</v>
      </c>
      <c r="N566" s="64" t="s">
        <v>42</v>
      </c>
      <c r="O566" s="82" t="s">
        <v>43</v>
      </c>
      <c r="P566" s="66"/>
    </row>
    <row r="567" spans="2:16" x14ac:dyDescent="0.25">
      <c r="B567" s="136" t="str">
        <f>IF(Tilmeldingsoversigt!$C$7="x",Morgenmad," ")</f>
        <v>Morgenmad</v>
      </c>
      <c r="C567" s="67">
        <f ca="1">IF(B567=Morgenmad,Tilmeldingsoversigt!$C$15," ")</f>
        <v>16.754098360655739</v>
      </c>
      <c r="D567" s="136" t="str">
        <f>IF(Tilmeldingsoversigt!$D$7="x",Morgenmad," ")</f>
        <v>Morgenmad</v>
      </c>
      <c r="E567" s="67">
        <f ca="1">IF(D567=Morgenmad,Tilmeldingsoversigt!$C$15," ")</f>
        <v>16.754098360655739</v>
      </c>
      <c r="F567" s="136" t="str">
        <f>IF(Tilmeldingsoversigt!$E$7="x",Morgenmad," ")</f>
        <v>Morgenmad</v>
      </c>
      <c r="G567" s="67">
        <f ca="1">IF(F567=Morgenmad,Tilmeldingsoversigt!$C$15," ")</f>
        <v>16.754098360655739</v>
      </c>
      <c r="H567" s="136" t="str">
        <f>IF(Tilmeldingsoversigt!$F$7="x",Morgenmad," ")</f>
        <v>Morgenmad</v>
      </c>
      <c r="I567" s="67">
        <f ca="1">IF(H567=Morgenmad,Tilmeldingsoversigt!$C$15," ")</f>
        <v>16.754098360655739</v>
      </c>
      <c r="J567" s="136" t="str">
        <f>IF(Tilmeldingsoversigt!$G$7="x",Morgenmad," ")</f>
        <v>Morgenmad</v>
      </c>
      <c r="K567" s="67">
        <f ca="1">IF(J567=Morgenmad,Tilmeldingsoversigt!$C$15," ")</f>
        <v>16.754098360655739</v>
      </c>
      <c r="L567" s="136" t="str">
        <f>IF(Tilmeldingsoversigt!$H$7="x",Morgenmad," ")</f>
        <v>Morgenmad</v>
      </c>
      <c r="M567" s="67">
        <f ca="1">IF(L567=Morgenmad,Tilmeldingsoversigt!$C$15," ")</f>
        <v>16.754098360655739</v>
      </c>
      <c r="N567" s="136" t="str">
        <f>IF(Tilmeldingsoversigt!$I$7="x",Morgenmad," ")</f>
        <v>Morgenmad</v>
      </c>
      <c r="O567" s="83">
        <f ca="1">IF(N567=Morgenmad,Tilmeldingsoversigt!$C$15," ")</f>
        <v>16.754098360655739</v>
      </c>
      <c r="P567" s="66"/>
    </row>
    <row r="568" spans="2:16" x14ac:dyDescent="0.25">
      <c r="B568" s="68" t="str">
        <f>IF(Tilmeldingsoversigt!$C$8="x",hovedret," ")</f>
        <v>Hovedret</v>
      </c>
      <c r="C568" s="69">
        <f ca="1">IF(B568=hovedret,Tilmeldingsoversigt!$C$16," ")</f>
        <v>55.016393442622949</v>
      </c>
      <c r="D568" s="68" t="str">
        <f>IF(Tilmeldingsoversigt!$D$8="x",hovedret," ")</f>
        <v>Hovedret</v>
      </c>
      <c r="E568" s="69">
        <f ca="1">IF(D568=hovedret,Tilmeldingsoversigt!$C$16," ")</f>
        <v>55.016393442622949</v>
      </c>
      <c r="F568" s="68" t="str">
        <f>IF(Tilmeldingsoversigt!$E$8="x",hovedret," ")</f>
        <v>Hovedret</v>
      </c>
      <c r="G568" s="69">
        <f ca="1">IF(F568=hovedret,Tilmeldingsoversigt!$C$16," ")</f>
        <v>55.016393442622949</v>
      </c>
      <c r="H568" s="68" t="str">
        <f>IF(Tilmeldingsoversigt!$F$8="x",hovedret," ")</f>
        <v>Hovedret</v>
      </c>
      <c r="I568" s="69">
        <f ca="1">IF(H568=hovedret,Tilmeldingsoversigt!$C$16," ")</f>
        <v>55.016393442622949</v>
      </c>
      <c r="J568" s="68" t="str">
        <f>IF(Tilmeldingsoversigt!$G$8="x",hovedret," ")</f>
        <v>Hovedret</v>
      </c>
      <c r="K568" s="69">
        <f ca="1">IF(J568=hovedret,Tilmeldingsoversigt!$C$16," ")</f>
        <v>55.016393442622949</v>
      </c>
      <c r="L568" s="68" t="str">
        <f>IF(Tilmeldingsoversigt!$H$8="x",hovedret," ")</f>
        <v>Hovedret</v>
      </c>
      <c r="M568" s="69">
        <f ca="1">IF(L568=hovedret,Tilmeldingsoversigt!$C$16," ")</f>
        <v>55.016393442622949</v>
      </c>
      <c r="N568" s="68" t="str">
        <f>IF(Tilmeldingsoversigt!$I$8="x",hovedret," ")</f>
        <v>Hovedret</v>
      </c>
      <c r="O568" s="70">
        <f ca="1">IF(N568=hovedret,Tilmeldingsoversigt!$C$16," ")</f>
        <v>55.016393442622949</v>
      </c>
      <c r="P568" s="66"/>
    </row>
    <row r="569" spans="2:16" x14ac:dyDescent="0.25">
      <c r="B569" s="68" t="str">
        <f>IF(Tilmeldingsoversigt!$C$9="x",Aftensmad," ")</f>
        <v>Aftensmad</v>
      </c>
      <c r="C569" s="69">
        <f ca="1">IF(B569=Aftensmad,Tilmeldingsoversigt!$C$17," ")</f>
        <v>27.540983606557376</v>
      </c>
      <c r="D569" s="68" t="str">
        <f>IF(Tilmeldingsoversigt!$D$9="x",Aftensmad," ")</f>
        <v>Aftensmad</v>
      </c>
      <c r="E569" s="69">
        <f ca="1">IF(D569=Aftensmad,Tilmeldingsoversigt!$C$17," ")</f>
        <v>27.540983606557376</v>
      </c>
      <c r="F569" s="68" t="str">
        <f>IF(Tilmeldingsoversigt!$E$9="x",Aftensmad," ")</f>
        <v>Aftensmad</v>
      </c>
      <c r="G569" s="69">
        <f ca="1">IF(F569=Aftensmad,Tilmeldingsoversigt!$C$17," ")</f>
        <v>27.540983606557376</v>
      </c>
      <c r="H569" s="68" t="str">
        <f>IF(Tilmeldingsoversigt!$F$9="x",Aftensmad," ")</f>
        <v>Aftensmad</v>
      </c>
      <c r="I569" s="69">
        <f ca="1">IF(H569=Aftensmad,Tilmeldingsoversigt!$C$17," ")</f>
        <v>27.540983606557376</v>
      </c>
      <c r="J569" s="68" t="str">
        <f>IF(Tilmeldingsoversigt!$G$9="x",Aftensmad," ")</f>
        <v>Aftensmad</v>
      </c>
      <c r="K569" s="69">
        <f ca="1">IF(J569=Aftensmad,Tilmeldingsoversigt!$C$17," ")</f>
        <v>27.540983606557376</v>
      </c>
      <c r="L569" s="68" t="str">
        <f>IF(Tilmeldingsoversigt!$H$9="x",Aftensmad," ")</f>
        <v>Aftensmad</v>
      </c>
      <c r="M569" s="69">
        <f ca="1">IF(L569=Aftensmad,Tilmeldingsoversigt!$C$17," ")</f>
        <v>27.540983606557376</v>
      </c>
      <c r="N569" s="68" t="str">
        <f>IF(Tilmeldingsoversigt!$I$9="x",Aftensmad," ")</f>
        <v>Aftensmad</v>
      </c>
      <c r="O569" s="70">
        <f ca="1">IF(N569=Aftensmad,Tilmeldingsoversigt!$C$17," ")</f>
        <v>27.540983606557376</v>
      </c>
      <c r="P569" s="66"/>
    </row>
    <row r="570" spans="2:16" x14ac:dyDescent="0.25">
      <c r="B570" s="68" t="str">
        <f>IF(Tilmeldingsoversigt!$C$10="x",biret," ")</f>
        <v>Biret</v>
      </c>
      <c r="C570" s="69">
        <f>IF(B570=biret,biretpris," ")</f>
        <v>0</v>
      </c>
      <c r="D570" s="68" t="str">
        <f>IF(Tilmeldingsoversigt!$D$10="x",biret," ")</f>
        <v>Biret</v>
      </c>
      <c r="E570" s="69">
        <f>IF(D570=biret,biretpris," ")</f>
        <v>0</v>
      </c>
      <c r="F570" s="68" t="str">
        <f>IF(Tilmeldingsoversigt!$E$10="x",biret," ")</f>
        <v>Biret</v>
      </c>
      <c r="G570" s="69">
        <f>IF(F570=biret,biretpris," ")</f>
        <v>0</v>
      </c>
      <c r="H570" s="68" t="str">
        <f>IF(Tilmeldingsoversigt!$F$10="x",biret," ")</f>
        <v>Biret</v>
      </c>
      <c r="I570" s="70">
        <f>IF(H570=biret,biretpris," ")</f>
        <v>0</v>
      </c>
      <c r="J570" s="68" t="str">
        <f>IF(Tilmeldingsoversigt!$G$10="x",biret," ")</f>
        <v>Biret</v>
      </c>
      <c r="K570" s="69">
        <f>IF(J570=biret,biretpris," ")</f>
        <v>0</v>
      </c>
      <c r="L570" s="68" t="str">
        <f>IF(Tilmeldingsoversigt!$H$10="x",biret," ")</f>
        <v>Biret</v>
      </c>
      <c r="M570" s="70">
        <f>IF(L570=biret,biretpris," ")</f>
        <v>0</v>
      </c>
      <c r="N570" s="68" t="str">
        <f>IF(Tilmeldingsoversigt!$I$10="x",biret," ")</f>
        <v>Biret</v>
      </c>
      <c r="O570" s="70">
        <f>IF(N570=biret,biretpris," ")</f>
        <v>0</v>
      </c>
      <c r="P570" s="66"/>
    </row>
    <row r="571" spans="2:16" x14ac:dyDescent="0.25">
      <c r="B571" s="71" t="str">
        <f>IF(Tilmeldingsoversigt!$C$11="x",mellemmåltid," ")</f>
        <v xml:space="preserve"> </v>
      </c>
      <c r="C571" s="72" t="str">
        <f>IF(B571=mellemmåltid,mellemmåltidspris," ")</f>
        <v xml:space="preserve"> </v>
      </c>
      <c r="D571" s="71" t="str">
        <f>IF(Tilmeldingsoversigt!$C$11="x",mellemmåltid," ")</f>
        <v xml:space="preserve"> </v>
      </c>
      <c r="E571" s="72" t="str">
        <f>IF(D571=mellemmåltid,mellemmåltidspris," ")</f>
        <v xml:space="preserve"> </v>
      </c>
      <c r="F571" s="71" t="str">
        <f>IF(Tilmeldingsoversigt!$C$11="x",mellemmåltid," ")</f>
        <v xml:space="preserve"> </v>
      </c>
      <c r="G571" s="72" t="str">
        <f>IF(F571=mellemmåltid,mellemmåltidspris," ")</f>
        <v xml:space="preserve"> </v>
      </c>
      <c r="H571" s="71" t="str">
        <f>IF(Tilmeldingsoversigt!$C$11="x",mellemmåltid," ")</f>
        <v xml:space="preserve"> </v>
      </c>
      <c r="I571" s="73" t="str">
        <f>IF(H571=mellemmåltid,mellemmåltidspris," ")</f>
        <v xml:space="preserve"> </v>
      </c>
      <c r="J571" s="71" t="str">
        <f>IF(Tilmeldingsoversigt!$C$11="x",mellemmåltid," ")</f>
        <v xml:space="preserve"> </v>
      </c>
      <c r="K571" s="72" t="str">
        <f>IF(J571=mellemmåltid,mellemmåltidspris," ")</f>
        <v xml:space="preserve"> </v>
      </c>
      <c r="L571" s="71" t="str">
        <f>IF(Tilmeldingsoversigt!$C$11="x",mellemmåltid," ")</f>
        <v xml:space="preserve"> </v>
      </c>
      <c r="M571" s="73" t="str">
        <f>IF(L571=mellemmåltid,mellemmåltidspris," ")</f>
        <v xml:space="preserve"> </v>
      </c>
      <c r="N571" s="71" t="str">
        <f>IF(Tilmeldingsoversigt!$C$11="x",mellemmåltid," ")</f>
        <v xml:space="preserve"> </v>
      </c>
      <c r="O571" s="73" t="str">
        <f>IF(N571=mellemmåltid,mellemmåltidspris," ")</f>
        <v xml:space="preserve"> </v>
      </c>
      <c r="P571" s="66"/>
    </row>
    <row r="572" spans="2:16" x14ac:dyDescent="0.25">
      <c r="B572" s="84" t="s">
        <v>44</v>
      </c>
      <c r="C572" s="11">
        <f ca="1">SUM(C567:C571)</f>
        <v>99.311475409836063</v>
      </c>
      <c r="D572" s="74"/>
      <c r="E572" s="11">
        <f ca="1">SUM(E567:E571)</f>
        <v>99.311475409836063</v>
      </c>
      <c r="F572" s="74"/>
      <c r="G572" s="11">
        <f ca="1">SUM(G567:G571)</f>
        <v>99.311475409836063</v>
      </c>
      <c r="H572" s="74"/>
      <c r="I572" s="11">
        <f ca="1">SUM(I567:I571)</f>
        <v>99.311475409836063</v>
      </c>
      <c r="J572" s="74"/>
      <c r="K572" s="11">
        <f ca="1">SUM(K567:K571)</f>
        <v>99.311475409836063</v>
      </c>
      <c r="L572" s="74"/>
      <c r="M572" s="11">
        <f ca="1">SUM(M567:M571)</f>
        <v>99.311475409836063</v>
      </c>
      <c r="N572" s="74"/>
      <c r="O572" s="12">
        <f ca="1">SUM(O567:O571)</f>
        <v>99.311475409836063</v>
      </c>
      <c r="P572" s="75">
        <f ca="1">SUM(C572,E572,G572,I572,K572,M572,O572)</f>
        <v>695.18032786885237</v>
      </c>
    </row>
    <row r="573" spans="2:16" x14ac:dyDescent="0.2">
      <c r="B573" s="76"/>
      <c r="C573" s="77"/>
      <c r="D573" s="77"/>
      <c r="E573" s="77"/>
      <c r="F573" s="77"/>
      <c r="G573" s="77"/>
      <c r="H573" s="77"/>
      <c r="I573" s="77"/>
      <c r="J573" s="77"/>
      <c r="K573" s="77"/>
      <c r="L573" s="77"/>
      <c r="M573" s="77"/>
      <c r="N573" s="77"/>
      <c r="O573" s="77"/>
      <c r="P573" s="76"/>
    </row>
    <row r="574" spans="2:16" ht="12.75" x14ac:dyDescent="0.25">
      <c r="B574" s="78">
        <f>N565+1</f>
        <v>21</v>
      </c>
      <c r="C574" s="79"/>
      <c r="D574" s="78">
        <f>B574+1</f>
        <v>22</v>
      </c>
      <c r="E574" s="79"/>
      <c r="F574" s="78">
        <f>D574+1</f>
        <v>23</v>
      </c>
      <c r="G574" s="79"/>
      <c r="H574" s="78">
        <f>F574+1</f>
        <v>24</v>
      </c>
      <c r="I574" s="79"/>
      <c r="J574" s="78">
        <f>H574+1</f>
        <v>25</v>
      </c>
      <c r="K574" s="79"/>
      <c r="L574" s="78">
        <f>J574+1</f>
        <v>26</v>
      </c>
      <c r="M574" s="79"/>
      <c r="N574" s="78">
        <f>L574+1</f>
        <v>27</v>
      </c>
      <c r="O574" s="79"/>
      <c r="P574" s="80"/>
    </row>
    <row r="575" spans="2:16" x14ac:dyDescent="0.25">
      <c r="B575" s="64" t="s">
        <v>42</v>
      </c>
      <c r="C575" s="81" t="s">
        <v>43</v>
      </c>
      <c r="D575" s="64" t="s">
        <v>42</v>
      </c>
      <c r="E575" s="81" t="s">
        <v>43</v>
      </c>
      <c r="F575" s="64" t="s">
        <v>42</v>
      </c>
      <c r="G575" s="81" t="s">
        <v>43</v>
      </c>
      <c r="H575" s="64" t="s">
        <v>42</v>
      </c>
      <c r="I575" s="81" t="s">
        <v>43</v>
      </c>
      <c r="J575" s="64" t="s">
        <v>42</v>
      </c>
      <c r="K575" s="81" t="s">
        <v>43</v>
      </c>
      <c r="L575" s="64" t="s">
        <v>42</v>
      </c>
      <c r="M575" s="81" t="s">
        <v>43</v>
      </c>
      <c r="N575" s="64" t="s">
        <v>42</v>
      </c>
      <c r="O575" s="82" t="s">
        <v>43</v>
      </c>
      <c r="P575" s="66"/>
    </row>
    <row r="576" spans="2:16" x14ac:dyDescent="0.25">
      <c r="B576" s="136" t="str">
        <f>IF(Tilmeldingsoversigt!$C$7="x",Morgenmad," ")</f>
        <v>Morgenmad</v>
      </c>
      <c r="C576" s="67">
        <f ca="1">IF(B576=Morgenmad,Tilmeldingsoversigt!$C$15," ")</f>
        <v>16.754098360655739</v>
      </c>
      <c r="D576" s="136" t="str">
        <f>IF(Tilmeldingsoversigt!$D$7="x",Morgenmad," ")</f>
        <v>Morgenmad</v>
      </c>
      <c r="E576" s="67">
        <f ca="1">IF(D576=Morgenmad,Tilmeldingsoversigt!$C$15," ")</f>
        <v>16.754098360655739</v>
      </c>
      <c r="F576" s="136" t="str">
        <f>IF(Tilmeldingsoversigt!$E$7="x",Morgenmad," ")</f>
        <v>Morgenmad</v>
      </c>
      <c r="G576" s="67">
        <f ca="1">IF(F576=Morgenmad,Tilmeldingsoversigt!$C$15," ")</f>
        <v>16.754098360655739</v>
      </c>
      <c r="H576" s="136" t="str">
        <f>IF(Tilmeldingsoversigt!$F$7="x",Morgenmad," ")</f>
        <v>Morgenmad</v>
      </c>
      <c r="I576" s="67">
        <f ca="1">IF(H576=Morgenmad,Tilmeldingsoversigt!$C$15," ")</f>
        <v>16.754098360655739</v>
      </c>
      <c r="J576" s="136" t="str">
        <f>IF(Tilmeldingsoversigt!$G$7="x",Morgenmad," ")</f>
        <v>Morgenmad</v>
      </c>
      <c r="K576" s="67">
        <f ca="1">IF(J576=Morgenmad,Tilmeldingsoversigt!$C$15," ")</f>
        <v>16.754098360655739</v>
      </c>
      <c r="L576" s="136" t="str">
        <f>IF(Tilmeldingsoversigt!$H$7="x",Morgenmad," ")</f>
        <v>Morgenmad</v>
      </c>
      <c r="M576" s="67">
        <f ca="1">IF(L576=Morgenmad,Tilmeldingsoversigt!$C$15," ")</f>
        <v>16.754098360655739</v>
      </c>
      <c r="N576" s="136" t="str">
        <f>IF(Tilmeldingsoversigt!$I$7="x",Morgenmad," ")</f>
        <v>Morgenmad</v>
      </c>
      <c r="O576" s="83">
        <f ca="1">IF(N576=Morgenmad,Tilmeldingsoversigt!$C$15," ")</f>
        <v>16.754098360655739</v>
      </c>
      <c r="P576" s="66"/>
    </row>
    <row r="577" spans="2:16" x14ac:dyDescent="0.25">
      <c r="B577" s="68" t="str">
        <f>IF(Tilmeldingsoversigt!$C$8="x",hovedret," ")</f>
        <v>Hovedret</v>
      </c>
      <c r="C577" s="69">
        <f ca="1">IF(B577=hovedret,Tilmeldingsoversigt!$C$16," ")</f>
        <v>55.016393442622949</v>
      </c>
      <c r="D577" s="68" t="str">
        <f>IF(Tilmeldingsoversigt!$D$8="x",hovedret," ")</f>
        <v>Hovedret</v>
      </c>
      <c r="E577" s="69">
        <f ca="1">IF(D577=hovedret,Tilmeldingsoversigt!$C$16," ")</f>
        <v>55.016393442622949</v>
      </c>
      <c r="F577" s="68" t="str">
        <f>IF(Tilmeldingsoversigt!$E$8="x",hovedret," ")</f>
        <v>Hovedret</v>
      </c>
      <c r="G577" s="69">
        <f ca="1">IF(F577=hovedret,Tilmeldingsoversigt!$C$16," ")</f>
        <v>55.016393442622949</v>
      </c>
      <c r="H577" s="68" t="str">
        <f>IF(Tilmeldingsoversigt!$F$8="x",hovedret," ")</f>
        <v>Hovedret</v>
      </c>
      <c r="I577" s="69">
        <f ca="1">IF(H577=hovedret,Tilmeldingsoversigt!$C$16," ")</f>
        <v>55.016393442622949</v>
      </c>
      <c r="J577" s="68" t="str">
        <f>IF(Tilmeldingsoversigt!$G$8="x",hovedret," ")</f>
        <v>Hovedret</v>
      </c>
      <c r="K577" s="69">
        <f ca="1">IF(J577=hovedret,Tilmeldingsoversigt!$C$16," ")</f>
        <v>55.016393442622949</v>
      </c>
      <c r="L577" s="68" t="str">
        <f>IF(Tilmeldingsoversigt!$H$8="x",hovedret," ")</f>
        <v>Hovedret</v>
      </c>
      <c r="M577" s="69">
        <f ca="1">IF(L577=hovedret,Tilmeldingsoversigt!$C$16," ")</f>
        <v>55.016393442622949</v>
      </c>
      <c r="N577" s="68" t="str">
        <f>IF(Tilmeldingsoversigt!$I$8="x",hovedret," ")</f>
        <v>Hovedret</v>
      </c>
      <c r="O577" s="70">
        <f ca="1">IF(N577=hovedret,Tilmeldingsoversigt!$C$16," ")</f>
        <v>55.016393442622949</v>
      </c>
      <c r="P577" s="66"/>
    </row>
    <row r="578" spans="2:16" x14ac:dyDescent="0.25">
      <c r="B578" s="68" t="str">
        <f>IF(Tilmeldingsoversigt!$C$9="x",Aftensmad," ")</f>
        <v>Aftensmad</v>
      </c>
      <c r="C578" s="69">
        <f ca="1">IF(B578=Aftensmad,Tilmeldingsoversigt!$C$17," ")</f>
        <v>27.540983606557376</v>
      </c>
      <c r="D578" s="68" t="str">
        <f>IF(Tilmeldingsoversigt!$D$9="x",Aftensmad," ")</f>
        <v>Aftensmad</v>
      </c>
      <c r="E578" s="69">
        <f ca="1">IF(D578=Aftensmad,Tilmeldingsoversigt!$C$17," ")</f>
        <v>27.540983606557376</v>
      </c>
      <c r="F578" s="68" t="str">
        <f>IF(Tilmeldingsoversigt!$E$9="x",Aftensmad," ")</f>
        <v>Aftensmad</v>
      </c>
      <c r="G578" s="69">
        <f ca="1">IF(F578=Aftensmad,Tilmeldingsoversigt!$C$17," ")</f>
        <v>27.540983606557376</v>
      </c>
      <c r="H578" s="68" t="str">
        <f>IF(Tilmeldingsoversigt!$F$9="x",Aftensmad," ")</f>
        <v>Aftensmad</v>
      </c>
      <c r="I578" s="69">
        <f ca="1">IF(H578=Aftensmad,Tilmeldingsoversigt!$C$17," ")</f>
        <v>27.540983606557376</v>
      </c>
      <c r="J578" s="68" t="str">
        <f>IF(Tilmeldingsoversigt!$G$9="x",Aftensmad," ")</f>
        <v>Aftensmad</v>
      </c>
      <c r="K578" s="69">
        <f ca="1">IF(J578=Aftensmad,Tilmeldingsoversigt!$C$17," ")</f>
        <v>27.540983606557376</v>
      </c>
      <c r="L578" s="68" t="str">
        <f>IF(Tilmeldingsoversigt!$H$9="x",Aftensmad," ")</f>
        <v>Aftensmad</v>
      </c>
      <c r="M578" s="69">
        <f ca="1">IF(L578=Aftensmad,Tilmeldingsoversigt!$C$17," ")</f>
        <v>27.540983606557376</v>
      </c>
      <c r="N578" s="68" t="str">
        <f>IF(Tilmeldingsoversigt!$I$9="x",Aftensmad," ")</f>
        <v>Aftensmad</v>
      </c>
      <c r="O578" s="70">
        <f ca="1">IF(N578=Aftensmad,Tilmeldingsoversigt!$C$17," ")</f>
        <v>27.540983606557376</v>
      </c>
      <c r="P578" s="66"/>
    </row>
    <row r="579" spans="2:16" x14ac:dyDescent="0.25">
      <c r="B579" s="68" t="str">
        <f>IF(Tilmeldingsoversigt!$C$10="x",biret," ")</f>
        <v>Biret</v>
      </c>
      <c r="C579" s="69">
        <f>IF(B579=biret,biretpris," ")</f>
        <v>0</v>
      </c>
      <c r="D579" s="68" t="str">
        <f>IF(Tilmeldingsoversigt!$D$10="x",biret," ")</f>
        <v>Biret</v>
      </c>
      <c r="E579" s="69">
        <f>IF(D579=biret,biretpris," ")</f>
        <v>0</v>
      </c>
      <c r="F579" s="68" t="str">
        <f>IF(Tilmeldingsoversigt!$E$10="x",biret," ")</f>
        <v>Biret</v>
      </c>
      <c r="G579" s="69">
        <f>IF(F579=biret,biretpris," ")</f>
        <v>0</v>
      </c>
      <c r="H579" s="68" t="str">
        <f>IF(Tilmeldingsoversigt!$F$10="x",biret," ")</f>
        <v>Biret</v>
      </c>
      <c r="I579" s="70">
        <f>IF(H579=biret,biretpris," ")</f>
        <v>0</v>
      </c>
      <c r="J579" s="68" t="str">
        <f>IF(Tilmeldingsoversigt!$G$10="x",biret," ")</f>
        <v>Biret</v>
      </c>
      <c r="K579" s="69">
        <f>IF(J579=biret,biretpris," ")</f>
        <v>0</v>
      </c>
      <c r="L579" s="68" t="str">
        <f>IF(Tilmeldingsoversigt!$H$10="x",biret," ")</f>
        <v>Biret</v>
      </c>
      <c r="M579" s="70">
        <f>IF(L579=biret,biretpris," ")</f>
        <v>0</v>
      </c>
      <c r="N579" s="68" t="str">
        <f>IF(Tilmeldingsoversigt!$I$10="x",biret," ")</f>
        <v>Biret</v>
      </c>
      <c r="O579" s="70">
        <f>IF(N579=biret,biretpris," ")</f>
        <v>0</v>
      </c>
      <c r="P579" s="66"/>
    </row>
    <row r="580" spans="2:16" x14ac:dyDescent="0.25">
      <c r="B580" s="71" t="str">
        <f>IF(Tilmeldingsoversigt!$C$11="x",mellemmåltid," ")</f>
        <v xml:space="preserve"> </v>
      </c>
      <c r="C580" s="72" t="str">
        <f>IF(B580=mellemmåltid,mellemmåltidspris," ")</f>
        <v xml:space="preserve"> </v>
      </c>
      <c r="D580" s="71" t="str">
        <f>IF(Tilmeldingsoversigt!$C$11="x",mellemmåltid," ")</f>
        <v xml:space="preserve"> </v>
      </c>
      <c r="E580" s="72" t="str">
        <f>IF(D580=mellemmåltid,mellemmåltidspris," ")</f>
        <v xml:space="preserve"> </v>
      </c>
      <c r="F580" s="71" t="str">
        <f>IF(Tilmeldingsoversigt!$C$11="x",mellemmåltid," ")</f>
        <v xml:space="preserve"> </v>
      </c>
      <c r="G580" s="72" t="str">
        <f>IF(F580=mellemmåltid,mellemmåltidspris," ")</f>
        <v xml:space="preserve"> </v>
      </c>
      <c r="H580" s="71" t="str">
        <f>IF(Tilmeldingsoversigt!$C$11="x",mellemmåltid," ")</f>
        <v xml:space="preserve"> </v>
      </c>
      <c r="I580" s="73" t="str">
        <f>IF(H580=mellemmåltid,mellemmåltidspris," ")</f>
        <v xml:space="preserve"> </v>
      </c>
      <c r="J580" s="71" t="str">
        <f>IF(Tilmeldingsoversigt!$C$11="x",mellemmåltid," ")</f>
        <v xml:space="preserve"> </v>
      </c>
      <c r="K580" s="72" t="str">
        <f>IF(J580=mellemmåltid,mellemmåltidspris," ")</f>
        <v xml:space="preserve"> </v>
      </c>
      <c r="L580" s="71" t="str">
        <f>IF(Tilmeldingsoversigt!$C$11="x",mellemmåltid," ")</f>
        <v xml:space="preserve"> </v>
      </c>
      <c r="M580" s="73" t="str">
        <f>IF(L580=mellemmåltid,mellemmåltidspris," ")</f>
        <v xml:space="preserve"> </v>
      </c>
      <c r="N580" s="71" t="str">
        <f>IF(Tilmeldingsoversigt!$C$11="x",mellemmåltid," ")</f>
        <v xml:space="preserve"> </v>
      </c>
      <c r="O580" s="73" t="str">
        <f>IF(N580=mellemmåltid,mellemmåltidspris," ")</f>
        <v xml:space="preserve"> </v>
      </c>
      <c r="P580" s="66"/>
    </row>
    <row r="581" spans="2:16" x14ac:dyDescent="0.25">
      <c r="B581" s="74" t="s">
        <v>44</v>
      </c>
      <c r="C581" s="11">
        <f ca="1">SUM(C576:C580)</f>
        <v>99.311475409836063</v>
      </c>
      <c r="D581" s="74"/>
      <c r="E581" s="11">
        <f ca="1">SUM(E576:E580)</f>
        <v>99.311475409836063</v>
      </c>
      <c r="F581" s="74"/>
      <c r="G581" s="11">
        <f ca="1">SUM(G576:G580)</f>
        <v>99.311475409836063</v>
      </c>
      <c r="H581" s="74"/>
      <c r="I581" s="11">
        <f ca="1">SUM(I576:I580)</f>
        <v>99.311475409836063</v>
      </c>
      <c r="J581" s="74"/>
      <c r="K581" s="11">
        <f ca="1">SUM(K576:K580)</f>
        <v>99.311475409836063</v>
      </c>
      <c r="L581" s="74"/>
      <c r="M581" s="11">
        <f ca="1">SUM(M576:M580)</f>
        <v>99.311475409836063</v>
      </c>
      <c r="N581" s="74"/>
      <c r="O581" s="12">
        <f ca="1">SUM(O576:O580)</f>
        <v>99.311475409836063</v>
      </c>
      <c r="P581" s="75">
        <f ca="1">SUM(C581,E581,G581,I581,K581,M581,O581)</f>
        <v>695.18032786885237</v>
      </c>
    </row>
    <row r="582" spans="2:16" x14ac:dyDescent="0.2">
      <c r="B582" s="76"/>
      <c r="C582" s="77"/>
      <c r="D582" s="77"/>
      <c r="E582" s="77"/>
      <c r="F582" s="77"/>
      <c r="G582" s="77"/>
      <c r="H582" s="77"/>
      <c r="I582" s="77"/>
      <c r="J582" s="77"/>
      <c r="K582" s="77"/>
      <c r="L582" s="77"/>
      <c r="M582" s="77"/>
      <c r="N582" s="77"/>
      <c r="O582" s="77"/>
      <c r="P582" s="76"/>
    </row>
    <row r="583" spans="2:16" ht="12.75" x14ac:dyDescent="0.25">
      <c r="B583" s="78">
        <f>DAY(IF(DAY(OktSøn1)=1,OktSøn1+22,OktSøn1+29))</f>
        <v>28</v>
      </c>
      <c r="C583" s="79"/>
      <c r="D583" s="78">
        <f>DAY(IF(DAY(OktSøn1)=1,OktSøn1+23,OktSøn1+30))</f>
        <v>29</v>
      </c>
      <c r="E583" s="79"/>
      <c r="F583" s="78">
        <f>DAY(IF(DAY(OktSøn1)=1,OktSøn1+24,OktSøn1+31))</f>
        <v>30</v>
      </c>
      <c r="G583" s="79"/>
      <c r="H583" s="78">
        <f>DAY(IF(DAY(OktSøn1)=1,OktSøn1+25,OktSøn1+32))</f>
        <v>31</v>
      </c>
      <c r="I583" s="79"/>
      <c r="J583" s="78">
        <f>DAY(IF(DAY(OktSøn1)=1,OktSøn1+26,OktSøn1+33))</f>
        <v>1</v>
      </c>
      <c r="K583" s="79"/>
      <c r="L583" s="78">
        <f>DAY(IF(DAY(OktSøn1)=1,OktSøn1+27,OktSøn1+34))</f>
        <v>2</v>
      </c>
      <c r="M583" s="79"/>
      <c r="N583" s="78">
        <f>DAY(IF(DAY(OktSøn1)=1,OktSøn1+28,OktSøn1+35))</f>
        <v>3</v>
      </c>
      <c r="O583" s="79"/>
      <c r="P583" s="85"/>
    </row>
    <row r="584" spans="2:16" x14ac:dyDescent="0.25">
      <c r="B584" s="64" t="s">
        <v>42</v>
      </c>
      <c r="C584" s="81" t="s">
        <v>43</v>
      </c>
      <c r="D584" s="64" t="s">
        <v>42</v>
      </c>
      <c r="E584" s="81" t="s">
        <v>43</v>
      </c>
      <c r="F584" s="64" t="s">
        <v>42</v>
      </c>
      <c r="G584" s="81" t="s">
        <v>43</v>
      </c>
      <c r="H584" s="64" t="s">
        <v>42</v>
      </c>
      <c r="I584" s="81" t="s">
        <v>43</v>
      </c>
      <c r="J584" s="64" t="s">
        <v>42</v>
      </c>
      <c r="K584" s="81" t="s">
        <v>43</v>
      </c>
      <c r="L584" s="64" t="s">
        <v>42</v>
      </c>
      <c r="M584" s="81" t="s">
        <v>43</v>
      </c>
      <c r="N584" s="64" t="s">
        <v>42</v>
      </c>
      <c r="O584" s="82" t="s">
        <v>43</v>
      </c>
      <c r="P584" s="66"/>
    </row>
    <row r="585" spans="2:16" x14ac:dyDescent="0.25">
      <c r="B585" s="136" t="str">
        <f>IF(Tilmeldingsoversigt!$C$7="x",Morgenmad," ")</f>
        <v>Morgenmad</v>
      </c>
      <c r="C585" s="67">
        <f ca="1">IF(B585=Morgenmad,Tilmeldingsoversigt!$C$15," ")</f>
        <v>16.754098360655739</v>
      </c>
      <c r="D585" s="136" t="str">
        <f>IF(Tilmeldingsoversigt!$D$7="x",Morgenmad," ")</f>
        <v>Morgenmad</v>
      </c>
      <c r="E585" s="67">
        <f ca="1">IF(D585=Morgenmad,Tilmeldingsoversigt!$C$15," ")</f>
        <v>16.754098360655739</v>
      </c>
      <c r="F585" s="136" t="str">
        <f>IF(Tilmeldingsoversigt!$E$7="x",Morgenmad," ")</f>
        <v>Morgenmad</v>
      </c>
      <c r="G585" s="67">
        <f ca="1">IF(F585=Morgenmad,Tilmeldingsoversigt!$C$15," ")</f>
        <v>16.754098360655739</v>
      </c>
      <c r="H585" s="136" t="str">
        <f>IF(Tilmeldingsoversigt!$F$7="x",Morgenmad," ")</f>
        <v>Morgenmad</v>
      </c>
      <c r="I585" s="67">
        <f ca="1">IF(H585=Morgenmad,Tilmeldingsoversigt!$C$15," ")</f>
        <v>16.754098360655739</v>
      </c>
      <c r="J585" s="136" t="str">
        <f>IF(Tilmeldingsoversigt!$G$7="x",Morgenmad," ")</f>
        <v>Morgenmad</v>
      </c>
      <c r="K585" s="67">
        <f ca="1">IF(J585=Morgenmad,Tilmeldingsoversigt!$C$15," ")</f>
        <v>16.754098360655739</v>
      </c>
      <c r="L585" s="136" t="str">
        <f>IF(Tilmeldingsoversigt!$H$7="x",Morgenmad," ")</f>
        <v>Morgenmad</v>
      </c>
      <c r="M585" s="67">
        <f ca="1">IF(L585=Morgenmad,Tilmeldingsoversigt!$C$15," ")</f>
        <v>16.754098360655739</v>
      </c>
      <c r="N585" s="139" t="str">
        <f>IF(Tilmeldingsoversigt!$I$7="x",Morgenmad," ")</f>
        <v>Morgenmad</v>
      </c>
      <c r="O585" s="86">
        <f ca="1">IF(N585=Morgenmad,Tilmeldingsoversigt!$C$15," ")</f>
        <v>16.754098360655739</v>
      </c>
      <c r="P585" s="66"/>
    </row>
    <row r="586" spans="2:16" x14ac:dyDescent="0.25">
      <c r="B586" s="68" t="str">
        <f>IF(Tilmeldingsoversigt!$C$8="x",hovedret," ")</f>
        <v>Hovedret</v>
      </c>
      <c r="C586" s="69">
        <f ca="1">IF(B586=hovedret,Tilmeldingsoversigt!$C$16," ")</f>
        <v>55.016393442622949</v>
      </c>
      <c r="D586" s="68" t="str">
        <f>IF(Tilmeldingsoversigt!$D$8="x",hovedret," ")</f>
        <v>Hovedret</v>
      </c>
      <c r="E586" s="69">
        <f ca="1">IF(D586=hovedret,Tilmeldingsoversigt!$C$16," ")</f>
        <v>55.016393442622949</v>
      </c>
      <c r="F586" s="68" t="str">
        <f>IF(Tilmeldingsoversigt!$E$8="x",hovedret," ")</f>
        <v>Hovedret</v>
      </c>
      <c r="G586" s="69">
        <f ca="1">IF(F586=hovedret,Tilmeldingsoversigt!$C$16," ")</f>
        <v>55.016393442622949</v>
      </c>
      <c r="H586" s="68" t="str">
        <f>IF(Tilmeldingsoversigt!$F$8="x",hovedret," ")</f>
        <v>Hovedret</v>
      </c>
      <c r="I586" s="69">
        <f ca="1">IF(H586=hovedret,Tilmeldingsoversigt!$C$16," ")</f>
        <v>55.016393442622949</v>
      </c>
      <c r="J586" s="68" t="str">
        <f>IF(Tilmeldingsoversigt!$G$8="x",hovedret," ")</f>
        <v>Hovedret</v>
      </c>
      <c r="K586" s="69">
        <f ca="1">IF(J586=hovedret,Tilmeldingsoversigt!$C$16," ")</f>
        <v>55.016393442622949</v>
      </c>
      <c r="L586" s="68" t="str">
        <f>IF(Tilmeldingsoversigt!$H$8="x",hovedret," ")</f>
        <v>Hovedret</v>
      </c>
      <c r="M586" s="69">
        <f ca="1">IF(L586=hovedret,Tilmeldingsoversigt!$C$16," ")</f>
        <v>55.016393442622949</v>
      </c>
      <c r="N586" s="87" t="str">
        <f>IF(Tilmeldingsoversigt!$I$8="x",hovedret," ")</f>
        <v>Hovedret</v>
      </c>
      <c r="O586" s="88">
        <f ca="1">IF(N586=hovedret,Tilmeldingsoversigt!$C$16," ")</f>
        <v>55.016393442622949</v>
      </c>
      <c r="P586" s="66"/>
    </row>
    <row r="587" spans="2:16" x14ac:dyDescent="0.25">
      <c r="B587" s="68" t="str">
        <f>IF(Tilmeldingsoversigt!$C$9="x",Aftensmad," ")</f>
        <v>Aftensmad</v>
      </c>
      <c r="C587" s="69">
        <f ca="1">IF(B587=Aftensmad,Tilmeldingsoversigt!$C$17," ")</f>
        <v>27.540983606557376</v>
      </c>
      <c r="D587" s="68" t="str">
        <f>IF(Tilmeldingsoversigt!$D$9="x",Aftensmad," ")</f>
        <v>Aftensmad</v>
      </c>
      <c r="E587" s="69">
        <f ca="1">IF(D587=Aftensmad,Tilmeldingsoversigt!$C$17," ")</f>
        <v>27.540983606557376</v>
      </c>
      <c r="F587" s="68" t="str">
        <f>IF(Tilmeldingsoversigt!$E$9="x",Aftensmad," ")</f>
        <v>Aftensmad</v>
      </c>
      <c r="G587" s="69">
        <f ca="1">IF(F587=Aftensmad,Tilmeldingsoversigt!$C$17," ")</f>
        <v>27.540983606557376</v>
      </c>
      <c r="H587" s="68" t="str">
        <f>IF(Tilmeldingsoversigt!$F$9="x",Aftensmad," ")</f>
        <v>Aftensmad</v>
      </c>
      <c r="I587" s="69">
        <f ca="1">IF(H587=Aftensmad,Tilmeldingsoversigt!$C$17," ")</f>
        <v>27.540983606557376</v>
      </c>
      <c r="J587" s="68" t="str">
        <f>IF(Tilmeldingsoversigt!$G$9="x",Aftensmad," ")</f>
        <v>Aftensmad</v>
      </c>
      <c r="K587" s="69">
        <f ca="1">IF(J587=Aftensmad,Tilmeldingsoversigt!$C$17," ")</f>
        <v>27.540983606557376</v>
      </c>
      <c r="L587" s="68" t="str">
        <f>IF(Tilmeldingsoversigt!$H$9="x",Aftensmad," ")</f>
        <v>Aftensmad</v>
      </c>
      <c r="M587" s="69">
        <f ca="1">IF(L587=Aftensmad,Tilmeldingsoversigt!$C$17," ")</f>
        <v>27.540983606557376</v>
      </c>
      <c r="N587" s="87" t="str">
        <f>IF(Tilmeldingsoversigt!$I$9="x",Aftensmad," ")</f>
        <v>Aftensmad</v>
      </c>
      <c r="O587" s="88">
        <f ca="1">IF(N587=Aftensmad,Tilmeldingsoversigt!$C$17," ")</f>
        <v>27.540983606557376</v>
      </c>
      <c r="P587" s="66"/>
    </row>
    <row r="588" spans="2:16" x14ac:dyDescent="0.25">
      <c r="B588" s="68" t="str">
        <f>IF(Tilmeldingsoversigt!$C$10="x",biret," ")</f>
        <v>Biret</v>
      </c>
      <c r="C588" s="69">
        <f>IF(B588=biret,biretpris," ")</f>
        <v>0</v>
      </c>
      <c r="D588" s="68" t="str">
        <f>IF(Tilmeldingsoversigt!$D$10="x",biret," ")</f>
        <v>Biret</v>
      </c>
      <c r="E588" s="69">
        <f>IF(D588=biret,biretpris," ")</f>
        <v>0</v>
      </c>
      <c r="F588" s="68" t="str">
        <f>IF(Tilmeldingsoversigt!$E$10="x",biret," ")</f>
        <v>Biret</v>
      </c>
      <c r="G588" s="69">
        <f>IF(F588=biret,biretpris," ")</f>
        <v>0</v>
      </c>
      <c r="H588" s="68" t="str">
        <f>IF(Tilmeldingsoversigt!$F$10="x",biret," ")</f>
        <v>Biret</v>
      </c>
      <c r="I588" s="70">
        <f>IF(H588=biret,biretpris," ")</f>
        <v>0</v>
      </c>
      <c r="J588" s="68" t="str">
        <f>IF(Tilmeldingsoversigt!$G$10="x",biret," ")</f>
        <v>Biret</v>
      </c>
      <c r="K588" s="69">
        <f>IF(J588=biret,biretpris," ")</f>
        <v>0</v>
      </c>
      <c r="L588" s="68" t="str">
        <f>IF(Tilmeldingsoversigt!$H$10="x",biret," ")</f>
        <v>Biret</v>
      </c>
      <c r="M588" s="70">
        <f>IF(L588=biret,biretpris," ")</f>
        <v>0</v>
      </c>
      <c r="N588" s="68" t="str">
        <f>IF(Tilmeldingsoversigt!$I$10="x",biret," ")</f>
        <v>Biret</v>
      </c>
      <c r="O588" s="70">
        <f>IF(N588=biret,biretpris," ")</f>
        <v>0</v>
      </c>
      <c r="P588" s="66"/>
    </row>
    <row r="589" spans="2:16" x14ac:dyDescent="0.25">
      <c r="B589" s="71" t="str">
        <f>IF(Tilmeldingsoversigt!$C$11="x",mellemmåltid," ")</f>
        <v xml:space="preserve"> </v>
      </c>
      <c r="C589" s="72" t="str">
        <f>IF(B589=mellemmåltid,mellemmåltidspris," ")</f>
        <v xml:space="preserve"> </v>
      </c>
      <c r="D589" s="71" t="str">
        <f>IF(Tilmeldingsoversigt!$C$11="x",mellemmåltid," ")</f>
        <v xml:space="preserve"> </v>
      </c>
      <c r="E589" s="72" t="str">
        <f>IF(D589=mellemmåltid,mellemmåltidspris," ")</f>
        <v xml:space="preserve"> </v>
      </c>
      <c r="F589" s="71" t="str">
        <f>IF(Tilmeldingsoversigt!$C$11="x",mellemmåltid," ")</f>
        <v xml:space="preserve"> </v>
      </c>
      <c r="G589" s="72" t="str">
        <f>IF(F589=mellemmåltid,mellemmåltidspris," ")</f>
        <v xml:space="preserve"> </v>
      </c>
      <c r="H589" s="71" t="str">
        <f>IF(Tilmeldingsoversigt!$C$11="x",mellemmåltid," ")</f>
        <v xml:space="preserve"> </v>
      </c>
      <c r="I589" s="73" t="str">
        <f>IF(H589=mellemmåltid,mellemmåltidspris," ")</f>
        <v xml:space="preserve"> </v>
      </c>
      <c r="J589" s="71" t="str">
        <f>IF(Tilmeldingsoversigt!$C$11="x",mellemmåltid," ")</f>
        <v xml:space="preserve"> </v>
      </c>
      <c r="K589" s="72" t="str">
        <f>IF(J589=mellemmåltid,mellemmåltidspris," ")</f>
        <v xml:space="preserve"> </v>
      </c>
      <c r="L589" s="71" t="str">
        <f>IF(Tilmeldingsoversigt!$C$11="x",mellemmåltid," ")</f>
        <v xml:space="preserve"> </v>
      </c>
      <c r="M589" s="73" t="str">
        <f>IF(L589=mellemmåltid,mellemmåltidspris," ")</f>
        <v xml:space="preserve"> </v>
      </c>
      <c r="N589" s="71" t="str">
        <f>IF(Tilmeldingsoversigt!$C$11="x",mellemmåltid," ")</f>
        <v xml:space="preserve"> </v>
      </c>
      <c r="O589" s="73" t="str">
        <f>IF(N589=mellemmåltid,mellemmåltidspris," ")</f>
        <v xml:space="preserve"> </v>
      </c>
      <c r="P589" s="66"/>
    </row>
    <row r="590" spans="2:16" x14ac:dyDescent="0.25">
      <c r="B590" s="74" t="s">
        <v>44</v>
      </c>
      <c r="C590" s="11">
        <f ca="1">SUM(C585:C589)</f>
        <v>99.311475409836063</v>
      </c>
      <c r="D590" s="74"/>
      <c r="E590" s="11">
        <f ca="1">SUM(E585:E589)</f>
        <v>99.311475409836063</v>
      </c>
      <c r="F590" s="74"/>
      <c r="G590" s="11">
        <f ca="1">SUM(G585:G589)</f>
        <v>99.311475409836063</v>
      </c>
      <c r="H590" s="74"/>
      <c r="I590" s="11">
        <f ca="1">SUM(I585:I589)</f>
        <v>99.311475409836063</v>
      </c>
      <c r="J590" s="74"/>
      <c r="K590" s="11">
        <f ca="1">SUM(K585:K589)</f>
        <v>99.311475409836063</v>
      </c>
      <c r="L590" s="74"/>
      <c r="M590" s="11">
        <f ca="1">SUM(M585:M589)</f>
        <v>99.311475409836063</v>
      </c>
      <c r="N590" s="74"/>
      <c r="O590" s="12">
        <f ca="1">SUM(O585:O589)</f>
        <v>99.311475409836063</v>
      </c>
      <c r="P590" s="75">
        <f ca="1">SUMIF(B583:N583,"&gt;="&amp;15,C590:O590)</f>
        <v>397.24590163934425</v>
      </c>
    </row>
    <row r="591" spans="2:16" x14ac:dyDescent="0.2">
      <c r="B591" s="76"/>
      <c r="C591" s="77"/>
      <c r="D591" s="77"/>
      <c r="E591" s="77"/>
      <c r="F591" s="77"/>
      <c r="G591" s="77"/>
      <c r="H591" s="77"/>
      <c r="I591" s="77"/>
      <c r="J591" s="77"/>
      <c r="K591" s="77"/>
      <c r="L591" s="77"/>
      <c r="M591" s="77"/>
      <c r="N591" s="77"/>
      <c r="O591" s="77"/>
      <c r="P591" s="76"/>
    </row>
    <row r="592" spans="2:16" ht="12.75" hidden="1" x14ac:dyDescent="0.25">
      <c r="B592" s="78">
        <f>DAY(IF(DAY(OktSøn1)=1,OktSøn1+29,OktSøn1+36))</f>
        <v>4</v>
      </c>
      <c r="C592" s="91"/>
      <c r="D592" s="78">
        <f>DAY(IF(DAY(OktSøn1)=1,OktSøn1+30,OktSøn1+37))</f>
        <v>5</v>
      </c>
      <c r="E592" s="79"/>
      <c r="F592" s="92">
        <f>DAY(IF(DAY(OktSøn1)=1,OktSøn1+31,OktSøn1+38))</f>
        <v>6</v>
      </c>
      <c r="G592" s="79"/>
      <c r="H592" s="78">
        <f>DAY(IF(DAY(OktSøn1)=1,OktSøn1+32,OktSøn1+39))</f>
        <v>7</v>
      </c>
      <c r="I592" s="79"/>
      <c r="J592" s="78">
        <f>DAY(IF(DAY(OktSøn1)=1,OktSøn1+33,OktSøn1+40))</f>
        <v>8</v>
      </c>
      <c r="K592" s="79"/>
      <c r="L592" s="78">
        <f>DAY(IF(DAY(OktSøn1)=1,OktSøn1+34,OktSøn1+41))</f>
        <v>9</v>
      </c>
      <c r="M592" s="79"/>
      <c r="N592" s="78">
        <f>DAY(IF(DAY(OktSøn1)=1,OktSøn1+35,OktSøn1+42))</f>
        <v>10</v>
      </c>
      <c r="O592" s="79"/>
      <c r="P592" s="85"/>
    </row>
    <row r="593" spans="2:16" hidden="1" x14ac:dyDescent="0.25">
      <c r="B593" s="64" t="s">
        <v>42</v>
      </c>
      <c r="C593" s="81" t="s">
        <v>43</v>
      </c>
      <c r="D593" s="64" t="s">
        <v>42</v>
      </c>
      <c r="E593" s="81" t="s">
        <v>43</v>
      </c>
      <c r="F593" s="64" t="s">
        <v>42</v>
      </c>
      <c r="G593" s="81" t="s">
        <v>43</v>
      </c>
      <c r="H593" s="64" t="s">
        <v>42</v>
      </c>
      <c r="I593" s="81" t="s">
        <v>43</v>
      </c>
      <c r="J593" s="64" t="s">
        <v>42</v>
      </c>
      <c r="K593" s="81" t="s">
        <v>43</v>
      </c>
      <c r="L593" s="64" t="s">
        <v>42</v>
      </c>
      <c r="M593" s="81" t="s">
        <v>43</v>
      </c>
      <c r="N593" s="64" t="s">
        <v>42</v>
      </c>
      <c r="O593" s="82" t="s">
        <v>43</v>
      </c>
      <c r="P593" s="66"/>
    </row>
    <row r="594" spans="2:16" hidden="1" x14ac:dyDescent="0.25">
      <c r="B594" s="136" t="str">
        <f>IF(Tilmeldingsoversigt!$C$7="x",Morgenmad," ")</f>
        <v>Morgenmad</v>
      </c>
      <c r="C594" s="67">
        <f ca="1">IF(B594=Morgenmad,Tilmeldingsoversigt!$C$15," ")</f>
        <v>16.754098360655739</v>
      </c>
      <c r="D594" s="136"/>
      <c r="E594" s="67"/>
      <c r="F594" s="136"/>
      <c r="G594" s="67"/>
      <c r="H594" s="136"/>
      <c r="I594" s="67"/>
      <c r="J594" s="136"/>
      <c r="K594" s="67"/>
      <c r="L594" s="136"/>
      <c r="M594" s="67"/>
      <c r="N594" s="136"/>
      <c r="O594" s="83"/>
      <c r="P594" s="66"/>
    </row>
    <row r="595" spans="2:16" hidden="1" x14ac:dyDescent="0.25">
      <c r="B595" s="68" t="str">
        <f>IF(Tilmeldingsoversigt!$C$8="x",hovedret," ")</f>
        <v>Hovedret</v>
      </c>
      <c r="C595" s="69">
        <f ca="1">IF(B595=hovedret,Tilmeldingsoversigt!$C$16," ")</f>
        <v>55.016393442622949</v>
      </c>
      <c r="D595" s="68"/>
      <c r="E595" s="69"/>
      <c r="F595" s="68"/>
      <c r="G595" s="69"/>
      <c r="H595" s="68"/>
      <c r="I595" s="69"/>
      <c r="J595" s="68"/>
      <c r="K595" s="69"/>
      <c r="L595" s="68"/>
      <c r="M595" s="69"/>
      <c r="N595" s="68"/>
      <c r="O595" s="70"/>
      <c r="P595" s="66"/>
    </row>
    <row r="596" spans="2:16" hidden="1" x14ac:dyDescent="0.25">
      <c r="B596" s="68" t="str">
        <f>IF(Tilmeldingsoversigt!$C$9="x",Aftensmad," ")</f>
        <v>Aftensmad</v>
      </c>
      <c r="C596" s="69">
        <f ca="1">IF(B596=Aftensmad,Tilmeldingsoversigt!$C$17," ")</f>
        <v>27.540983606557376</v>
      </c>
      <c r="D596" s="68"/>
      <c r="E596" s="69"/>
      <c r="F596" s="68"/>
      <c r="G596" s="69"/>
      <c r="H596" s="68"/>
      <c r="I596" s="69"/>
      <c r="J596" s="68"/>
      <c r="K596" s="69"/>
      <c r="L596" s="68"/>
      <c r="M596" s="69"/>
      <c r="N596" s="68"/>
      <c r="O596" s="70"/>
      <c r="P596" s="66"/>
    </row>
    <row r="597" spans="2:16" hidden="1" x14ac:dyDescent="0.25">
      <c r="B597" s="68" t="str">
        <f>IF(Tilmeldingsoversigt!$C$10="x",biret," ")</f>
        <v>Biret</v>
      </c>
      <c r="C597" s="69">
        <f>IF(B597=biret,biretpris," ")</f>
        <v>0</v>
      </c>
      <c r="D597" s="68"/>
      <c r="E597" s="69"/>
      <c r="F597" s="68"/>
      <c r="G597" s="69"/>
      <c r="H597" s="68"/>
      <c r="I597" s="69"/>
      <c r="J597" s="68"/>
      <c r="K597" s="69"/>
      <c r="L597" s="68"/>
      <c r="M597" s="69"/>
      <c r="N597" s="68"/>
      <c r="O597" s="70"/>
      <c r="P597" s="66"/>
    </row>
    <row r="598" spans="2:16" hidden="1" x14ac:dyDescent="0.25">
      <c r="B598" s="71" t="str">
        <f>IF(Tilmeldingsoversigt!$C$11="x",mellemmåltid," ")</f>
        <v xml:space="preserve"> </v>
      </c>
      <c r="C598" s="72" t="str">
        <f>IF(B598=mellemmåltid,mellemmåltidspris," ")</f>
        <v xml:space="preserve"> </v>
      </c>
      <c r="D598" s="71"/>
      <c r="E598" s="72"/>
      <c r="F598" s="71"/>
      <c r="G598" s="72"/>
      <c r="H598" s="71"/>
      <c r="I598" s="72"/>
      <c r="J598" s="71"/>
      <c r="K598" s="72"/>
      <c r="L598" s="71"/>
      <c r="M598" s="72"/>
      <c r="N598" s="71"/>
      <c r="O598" s="73"/>
      <c r="P598" s="66"/>
    </row>
    <row r="599" spans="2:16" hidden="1" x14ac:dyDescent="0.25">
      <c r="B599" s="74" t="s">
        <v>44</v>
      </c>
      <c r="C599" s="11">
        <f ca="1">SUM(C594:C598)</f>
        <v>99.311475409836063</v>
      </c>
      <c r="D599" s="74"/>
      <c r="E599" s="11">
        <f>SUM(E594:E598)</f>
        <v>0</v>
      </c>
      <c r="F599" s="74"/>
      <c r="G599" s="11">
        <f>SUM(G594:G598)</f>
        <v>0</v>
      </c>
      <c r="H599" s="74"/>
      <c r="I599" s="11">
        <f>SUM(I594:I598)</f>
        <v>0</v>
      </c>
      <c r="J599" s="74"/>
      <c r="K599" s="11">
        <f>SUM(K594:K598)</f>
        <v>0</v>
      </c>
      <c r="L599" s="74"/>
      <c r="M599" s="11">
        <f>SUM(M594:M598)</f>
        <v>0</v>
      </c>
      <c r="N599" s="74"/>
      <c r="O599" s="12">
        <f>SUM(O594:O598)</f>
        <v>0</v>
      </c>
      <c r="P599" s="75">
        <f>SUMIF(B592:N592,"&gt;="&amp;15,C599:O599)</f>
        <v>0</v>
      </c>
    </row>
    <row r="600" spans="2:16" ht="17.25" hidden="1" customHeight="1" x14ac:dyDescent="0.2"/>
    <row r="601" spans="2:16" ht="12" x14ac:dyDescent="0.2">
      <c r="B601" s="246" t="s">
        <v>54</v>
      </c>
      <c r="C601" s="246"/>
      <c r="D601" s="246"/>
      <c r="E601" s="246"/>
      <c r="F601" s="49"/>
      <c r="G601" s="132">
        <f ca="1">Tilmeldingsoversigt!$E$15-(30-'Tilmeldte måltider'!G602)*Morgenpris</f>
        <v>511</v>
      </c>
      <c r="H601" s="49"/>
      <c r="I601" s="132">
        <f ca="1">Tilmeldingsoversigt!$E$16-(30-'Tilmeldte måltider'!I602)*Frokostpris</f>
        <v>1678</v>
      </c>
      <c r="J601" s="49"/>
      <c r="K601" s="132">
        <f ca="1">Tilmeldingsoversigt!$E$17-(30-'Tilmeldte måltider'!K602)*Aftenpris</f>
        <v>840</v>
      </c>
      <c r="L601" s="247" t="s">
        <v>32</v>
      </c>
      <c r="M601" s="247"/>
      <c r="N601" s="247" t="s">
        <v>33</v>
      </c>
      <c r="O601" s="247"/>
      <c r="P601" s="49"/>
    </row>
    <row r="602" spans="2:16" ht="25.5" customHeight="1" x14ac:dyDescent="0.25">
      <c r="B602" s="246"/>
      <c r="C602" s="246"/>
      <c r="D602" s="246"/>
      <c r="E602" s="246"/>
      <c r="F602" s="97" t="str">
        <f>Morgenmad</f>
        <v>Morgenmad</v>
      </c>
      <c r="G602" s="97">
        <f ca="1">IF(L603=FALSE,0,(COUNTIF(B608:O649,Morgenmad)))</f>
        <v>30</v>
      </c>
      <c r="H602" s="97" t="str">
        <f>hovedret</f>
        <v>Hovedret</v>
      </c>
      <c r="I602" s="97">
        <f ca="1">IF(L603=FALSE,0,(COUNTIF(B608:O649,hovedret)))</f>
        <v>30</v>
      </c>
      <c r="J602" s="97" t="str">
        <f>Aftensmad</f>
        <v>Aftensmad</v>
      </c>
      <c r="K602" s="97">
        <f ca="1">IF(L603=FALSE,0,(COUNTIF(B609:O649,Aftensmad)))</f>
        <v>30</v>
      </c>
      <c r="L602" s="248">
        <f ca="1">IF(november_sum=0,0,månedligtotal)</f>
        <v>3000</v>
      </c>
      <c r="M602" s="249"/>
      <c r="N602" s="248">
        <v>2</v>
      </c>
      <c r="O602" s="250"/>
      <c r="P602" s="49"/>
    </row>
    <row r="603" spans="2:16" ht="25.5" customHeight="1" x14ac:dyDescent="0.45">
      <c r="B603" s="121"/>
      <c r="C603" s="121"/>
      <c r="D603" s="121"/>
      <c r="E603" s="121"/>
      <c r="F603" s="98" t="str">
        <f>biret</f>
        <v>Biret</v>
      </c>
      <c r="G603" s="97">
        <f ca="1">IF(november_sum=0,0,(COUNTIF($B$608:$O$658,biret)))</f>
        <v>30</v>
      </c>
      <c r="H603" s="98" t="str">
        <f>mellemmåltid</f>
        <v>Mellemmåltid</v>
      </c>
      <c r="I603" s="97">
        <f ca="1">IF(november_sum=0,0,(COUNTIF($B$608:$O$658,mellemmåltid)))</f>
        <v>0</v>
      </c>
      <c r="J603" s="98"/>
      <c r="K603" s="98"/>
      <c r="L603" s="243" t="b">
        <f>IF(AND(L604,N604)=TRUE,TRUE,FALSE)</f>
        <v>1</v>
      </c>
      <c r="M603" s="244"/>
      <c r="N603" s="137">
        <f ca="1">G601+I601+K601</f>
        <v>3029</v>
      </c>
      <c r="O603" s="137"/>
      <c r="P603" s="49"/>
    </row>
    <row r="604" spans="2:16" ht="25.5" hidden="1" customHeight="1" x14ac:dyDescent="0.45">
      <c r="B604" s="121"/>
      <c r="C604" s="121"/>
      <c r="D604" s="121"/>
      <c r="E604" s="121"/>
      <c r="F604" s="138"/>
      <c r="G604" s="138"/>
      <c r="H604" s="138"/>
      <c r="I604" s="138"/>
      <c r="J604" s="138"/>
      <c r="K604" s="138"/>
      <c r="L604" s="242" t="b">
        <f>IF(OR(VLOOKUP(start_måned,Dataark!$C$5:$D$16,2,FALSE)&lt;=11,$L$544=TRUE),TRUE,FALSE)</f>
        <v>1</v>
      </c>
      <c r="M604" s="242"/>
      <c r="N604" s="242" t="b">
        <f>IF(AND(VLOOKUP(slut_måned,Dataark!$C$5:$D$16,2,FALSE)&gt;=11,L604=TRUE),TRUE,FALSE)</f>
        <v>1</v>
      </c>
      <c r="O604" s="242"/>
      <c r="P604" s="49"/>
    </row>
    <row r="605" spans="2:16" ht="9" customHeight="1" x14ac:dyDescent="0.2">
      <c r="B605" s="260">
        <v>1</v>
      </c>
      <c r="C605" s="260"/>
      <c r="D605" s="260">
        <v>2</v>
      </c>
      <c r="E605" s="260"/>
      <c r="F605" s="260">
        <v>3</v>
      </c>
      <c r="G605" s="260"/>
      <c r="H605" s="260">
        <v>4</v>
      </c>
      <c r="I605" s="260"/>
      <c r="J605" s="260">
        <v>5</v>
      </c>
      <c r="K605" s="260"/>
      <c r="L605" s="260">
        <v>6</v>
      </c>
      <c r="M605" s="260"/>
      <c r="N605" s="260">
        <v>7</v>
      </c>
      <c r="O605" s="260"/>
      <c r="P605" s="135">
        <f ca="1">IF(L603=TRUE,(N603),0)</f>
        <v>3029</v>
      </c>
    </row>
    <row r="606" spans="2:16" ht="15" customHeight="1" x14ac:dyDescent="0.25">
      <c r="B606" s="263" t="s">
        <v>34</v>
      </c>
      <c r="C606" s="264"/>
      <c r="D606" s="123" t="s">
        <v>35</v>
      </c>
      <c r="E606" s="124" t="e">
        <f>IF(WEEKDAY(DATEVALUE(Month1&amp;" 1, "&amp;Year1))=COLUMN(#REF!),1,IF(LEN(C606)&gt;0,C606+1,""))</f>
        <v>#NAME?</v>
      </c>
      <c r="F606" s="122" t="s">
        <v>36</v>
      </c>
      <c r="G606" s="122" t="e">
        <f>IF(WEEKDAY(DATEVALUE(Month1&amp;" 1, "&amp;Year1))=COLUMN(#REF!),1,IF(LEN(E606)&gt;0,E606+1,""))</f>
        <v>#NAME?</v>
      </c>
      <c r="H606" s="254" t="s">
        <v>37</v>
      </c>
      <c r="I606" s="255" t="e">
        <f>IF(WEEKDAY(DATEVALUE(Month1&amp;" 1, "&amp;Year1))=COLUMN(#REF!),1,IF(LEN(G606)&gt;0,G606+1,""))</f>
        <v>#NAME?</v>
      </c>
      <c r="J606" s="254" t="s">
        <v>38</v>
      </c>
      <c r="K606" s="255" t="e">
        <f>IF(WEEKDAY(DATEVALUE(Month1&amp;" 1, "&amp;Year1))=COLUMN(#REF!),1,IF(LEN(I606)&gt;0,I606+1,""))</f>
        <v>#NAME?</v>
      </c>
      <c r="L606" s="254" t="s">
        <v>39</v>
      </c>
      <c r="M606" s="255" t="e">
        <f>IF(WEEKDAY(DATEVALUE(Month1&amp;" 1, "&amp;Year1))=COLUMN(#REF!),1,IF(LEN(K606)&gt;0,K606+1,""))</f>
        <v>#NAME?</v>
      </c>
      <c r="N606" s="254" t="s">
        <v>40</v>
      </c>
      <c r="O606" s="255" t="e">
        <f>IF(WEEKDAY(DATEVALUE(Month1&amp;" 1, "&amp;Year1))=COLUMN(#REF!),1,IF(LEN(M606)&gt;0,M606+1,""))</f>
        <v>#NAME?</v>
      </c>
      <c r="P606" s="53" t="s">
        <v>41</v>
      </c>
    </row>
    <row r="607" spans="2:16" ht="12.75" x14ac:dyDescent="0.25">
      <c r="B607" s="55">
        <f>DAY(IF(DAY(NovSøn1)=1,NovSøn1-6,NovSøn1+1))</f>
        <v>28</v>
      </c>
      <c r="C607" s="56"/>
      <c r="D607" s="57">
        <f>DAY(IF(DAY(NovSøn1)=1,NovSøn1-5,NovSøn1+2))</f>
        <v>29</v>
      </c>
      <c r="E607" s="56"/>
      <c r="F607" s="57">
        <f>DAY(IF(DAY(NovSøn1)=1,NovSøn1-4,NovSøn1+3))</f>
        <v>30</v>
      </c>
      <c r="G607" s="56"/>
      <c r="H607" s="57">
        <f>DAY(IF(DAY(NovSøn1)=1,NovSøn1-3,NovSøn1+4))</f>
        <v>31</v>
      </c>
      <c r="I607" s="56"/>
      <c r="J607" s="57">
        <f>DAY(IF(DAY(NovSøn1)=1,NovSøn1-2,NovSøn1+5))</f>
        <v>1</v>
      </c>
      <c r="K607" s="56"/>
      <c r="L607" s="57">
        <f>DAY(IF(DAY(NovSøn1)=1,NovSøn1-1,NovSøn1+6))</f>
        <v>2</v>
      </c>
      <c r="M607" s="56"/>
      <c r="N607" s="58">
        <f>DAY(IF(DAY(NovSøn1)=1,NovSøn1,NovSøn1+7))</f>
        <v>3</v>
      </c>
      <c r="O607" s="59"/>
      <c r="P607" s="60"/>
    </row>
    <row r="608" spans="2:16" x14ac:dyDescent="0.25">
      <c r="B608" s="61" t="s">
        <v>42</v>
      </c>
      <c r="C608" s="62" t="s">
        <v>43</v>
      </c>
      <c r="D608" s="63" t="s">
        <v>42</v>
      </c>
      <c r="E608" s="62" t="s">
        <v>43</v>
      </c>
      <c r="F608" s="63" t="s">
        <v>42</v>
      </c>
      <c r="G608" s="62" t="s">
        <v>43</v>
      </c>
      <c r="H608" s="63" t="s">
        <v>42</v>
      </c>
      <c r="I608" s="62" t="s">
        <v>43</v>
      </c>
      <c r="J608" s="63" t="s">
        <v>42</v>
      </c>
      <c r="K608" s="62" t="s">
        <v>43</v>
      </c>
      <c r="L608" s="63" t="s">
        <v>42</v>
      </c>
      <c r="M608" s="62" t="s">
        <v>43</v>
      </c>
      <c r="N608" s="64" t="s">
        <v>42</v>
      </c>
      <c r="O608" s="65" t="s">
        <v>43</v>
      </c>
      <c r="P608" s="66"/>
    </row>
    <row r="609" spans="2:16" x14ac:dyDescent="0.25">
      <c r="B609" s="136"/>
      <c r="C609" s="67"/>
      <c r="D609" s="136" t="str">
        <f>IF(Tilmeldingsoversigt!$D$7="x",Morgenmad," ")</f>
        <v>Morgenmad</v>
      </c>
      <c r="E609" s="67">
        <f ca="1">IF(D609=Morgenmad,Tilmeldingsoversigt!$C$15," ")</f>
        <v>16.754098360655739</v>
      </c>
      <c r="F609" s="136" t="str">
        <f>IF(Tilmeldingsoversigt!$E$7="x",Morgenmad," ")</f>
        <v>Morgenmad</v>
      </c>
      <c r="G609" s="67">
        <f ca="1">IF(F609=Morgenmad,Tilmeldingsoversigt!$C$15," ")</f>
        <v>16.754098360655739</v>
      </c>
      <c r="H609" s="136" t="str">
        <f>IF(Tilmeldingsoversigt!$F$7="x",Morgenmad," ")</f>
        <v>Morgenmad</v>
      </c>
      <c r="I609" s="67">
        <f ca="1">IF(H609=Morgenmad,Tilmeldingsoversigt!$C$15," ")</f>
        <v>16.754098360655739</v>
      </c>
      <c r="J609" s="136" t="str">
        <f>IF(Tilmeldingsoversigt!$G$7="x",Morgenmad," ")</f>
        <v>Morgenmad</v>
      </c>
      <c r="K609" s="67">
        <f ca="1">IF(J609=Morgenmad,Tilmeldingsoversigt!$C$15," ")</f>
        <v>16.754098360655739</v>
      </c>
      <c r="L609" s="136" t="str">
        <f>IF(Tilmeldingsoversigt!$H$7="x",Morgenmad," ")</f>
        <v>Morgenmad</v>
      </c>
      <c r="M609" s="67">
        <f ca="1">IF(L609=Morgenmad,Tilmeldingsoversigt!$C$15," ")</f>
        <v>16.754098360655739</v>
      </c>
      <c r="N609" s="136" t="str">
        <f>IF(Tilmeldingsoversigt!$I$7="x",Morgenmad," ")</f>
        <v>Morgenmad</v>
      </c>
      <c r="O609" s="83">
        <f ca="1">IF(N609=Morgenmad,Tilmeldingsoversigt!$C$15," ")</f>
        <v>16.754098360655739</v>
      </c>
      <c r="P609" s="66"/>
    </row>
    <row r="610" spans="2:16" x14ac:dyDescent="0.25">
      <c r="B610" s="68"/>
      <c r="C610" s="69"/>
      <c r="D610" s="68" t="str">
        <f>IF(Tilmeldingsoversigt!$D$8="x",hovedret," ")</f>
        <v>Hovedret</v>
      </c>
      <c r="E610" s="69">
        <f ca="1">IF(D610=hovedret,Tilmeldingsoversigt!$C$16," ")</f>
        <v>55.016393442622949</v>
      </c>
      <c r="F610" s="68" t="str">
        <f>IF(Tilmeldingsoversigt!$E$8="x",hovedret," ")</f>
        <v>Hovedret</v>
      </c>
      <c r="G610" s="69">
        <f ca="1">IF(F610=hovedret,Tilmeldingsoversigt!$C$16," ")</f>
        <v>55.016393442622949</v>
      </c>
      <c r="H610" s="68" t="str">
        <f>IF(Tilmeldingsoversigt!$F$8="x",hovedret," ")</f>
        <v>Hovedret</v>
      </c>
      <c r="I610" s="69">
        <f ca="1">IF(H610=hovedret,Tilmeldingsoversigt!$C$16," ")</f>
        <v>55.016393442622949</v>
      </c>
      <c r="J610" s="68" t="str">
        <f>IF(Tilmeldingsoversigt!$G$8="x",hovedret," ")</f>
        <v>Hovedret</v>
      </c>
      <c r="K610" s="69">
        <f ca="1">IF(J610=hovedret,Tilmeldingsoversigt!$C$16," ")</f>
        <v>55.016393442622949</v>
      </c>
      <c r="L610" s="68" t="str">
        <f>IF(Tilmeldingsoversigt!$H$8="x",hovedret," ")</f>
        <v>Hovedret</v>
      </c>
      <c r="M610" s="69">
        <f ca="1">IF(L610=hovedret,Tilmeldingsoversigt!$C$16," ")</f>
        <v>55.016393442622949</v>
      </c>
      <c r="N610" s="68" t="str">
        <f>IF(Tilmeldingsoversigt!$I$8="x",hovedret," ")</f>
        <v>Hovedret</v>
      </c>
      <c r="O610" s="70">
        <f ca="1">IF(N610=hovedret,Tilmeldingsoversigt!$C$16," ")</f>
        <v>55.016393442622949</v>
      </c>
      <c r="P610" s="66"/>
    </row>
    <row r="611" spans="2:16" x14ac:dyDescent="0.25">
      <c r="B611" s="68"/>
      <c r="C611" s="69"/>
      <c r="D611" s="68" t="str">
        <f>IF(Tilmeldingsoversigt!$D$9="x",Aftensmad," ")</f>
        <v>Aftensmad</v>
      </c>
      <c r="E611" s="69">
        <f ca="1">IF(D611=Aftensmad,Tilmeldingsoversigt!$C$17," ")</f>
        <v>27.540983606557376</v>
      </c>
      <c r="F611" s="68" t="str">
        <f>IF(Tilmeldingsoversigt!$E$9="x",Aftensmad," ")</f>
        <v>Aftensmad</v>
      </c>
      <c r="G611" s="69">
        <f ca="1">IF(F611=Aftensmad,Tilmeldingsoversigt!$C$17," ")</f>
        <v>27.540983606557376</v>
      </c>
      <c r="H611" s="68" t="str">
        <f>IF(Tilmeldingsoversigt!$F$9="x",Aftensmad," ")</f>
        <v>Aftensmad</v>
      </c>
      <c r="I611" s="69">
        <f ca="1">IF(H611=Aftensmad,Tilmeldingsoversigt!$C$17," ")</f>
        <v>27.540983606557376</v>
      </c>
      <c r="J611" s="68" t="str">
        <f>IF(Tilmeldingsoversigt!$G$9="x",Aftensmad," ")</f>
        <v>Aftensmad</v>
      </c>
      <c r="K611" s="69">
        <f ca="1">IF(J611=Aftensmad,Tilmeldingsoversigt!$C$17," ")</f>
        <v>27.540983606557376</v>
      </c>
      <c r="L611" s="68" t="str">
        <f>IF(Tilmeldingsoversigt!$H$9="x",Aftensmad," ")</f>
        <v>Aftensmad</v>
      </c>
      <c r="M611" s="69">
        <f ca="1">IF(L611=Aftensmad,Tilmeldingsoversigt!$C$17," ")</f>
        <v>27.540983606557376</v>
      </c>
      <c r="N611" s="68" t="str">
        <f>IF(Tilmeldingsoversigt!$I$9="x",Aftensmad," ")</f>
        <v>Aftensmad</v>
      </c>
      <c r="O611" s="70">
        <f ca="1">IF(N611=Aftensmad,Tilmeldingsoversigt!$C$17," ")</f>
        <v>27.540983606557376</v>
      </c>
      <c r="P611" s="66"/>
    </row>
    <row r="612" spans="2:16" x14ac:dyDescent="0.25">
      <c r="B612" s="68"/>
      <c r="C612" s="69"/>
      <c r="D612" s="68" t="str">
        <f>IF(Tilmeldingsoversigt!$D$10="x",biret," ")</f>
        <v>Biret</v>
      </c>
      <c r="E612" s="69">
        <f>IF(D612=biret,biretpris," ")</f>
        <v>0</v>
      </c>
      <c r="F612" s="68" t="str">
        <f>IF(Tilmeldingsoversigt!$E$10="x",biret," ")</f>
        <v>Biret</v>
      </c>
      <c r="G612" s="69">
        <f>IF(F612=biret,biretpris," ")</f>
        <v>0</v>
      </c>
      <c r="H612" s="68" t="str">
        <f>IF(Tilmeldingsoversigt!$F$10="x",biret," ")</f>
        <v>Biret</v>
      </c>
      <c r="I612" s="69">
        <f>IF(H612=biret,biretpris," ")</f>
        <v>0</v>
      </c>
      <c r="J612" s="68" t="str">
        <f>IF(Tilmeldingsoversigt!$G$10="x",biret," ")</f>
        <v>Biret</v>
      </c>
      <c r="K612" s="69">
        <f>IF(J612=biret,biretpris," ")</f>
        <v>0</v>
      </c>
      <c r="L612" s="68" t="str">
        <f>IF(Tilmeldingsoversigt!$H$10="x",biret," ")</f>
        <v>Biret</v>
      </c>
      <c r="M612" s="69">
        <f>IF(L612=biret,biretpris," ")</f>
        <v>0</v>
      </c>
      <c r="N612" s="68" t="str">
        <f>IF(Tilmeldingsoversigt!$I$10="x",biret," ")</f>
        <v>Biret</v>
      </c>
      <c r="O612" s="70">
        <f>IF(N612=biret,biretpris," ")</f>
        <v>0</v>
      </c>
      <c r="P612" s="66"/>
    </row>
    <row r="613" spans="2:16" x14ac:dyDescent="0.25">
      <c r="B613" s="71"/>
      <c r="C613" s="72"/>
      <c r="D613" s="71" t="str">
        <f>IF(Tilmeldingsoversigt!$C$11="x",mellemmåltid," ")</f>
        <v xml:space="preserve"> </v>
      </c>
      <c r="E613" s="72" t="str">
        <f>IF(D613=mellemmåltid,mellemmåltidspris," ")</f>
        <v xml:space="preserve"> </v>
      </c>
      <c r="F613" s="71" t="str">
        <f>IF(Tilmeldingsoversigt!$C$11="x",mellemmåltid," ")</f>
        <v xml:space="preserve"> </v>
      </c>
      <c r="G613" s="72" t="str">
        <f>IF(F613=mellemmåltid,mellemmåltidspris," ")</f>
        <v xml:space="preserve"> </v>
      </c>
      <c r="H613" s="71" t="str">
        <f>IF(Tilmeldingsoversigt!$C$11="x",mellemmåltid," ")</f>
        <v xml:space="preserve"> </v>
      </c>
      <c r="I613" s="72" t="str">
        <f>IF(H613=mellemmåltid,mellemmåltidspris," ")</f>
        <v xml:space="preserve"> </v>
      </c>
      <c r="J613" s="71" t="str">
        <f>IF(Tilmeldingsoversigt!$C$11="x",mellemmåltid," ")</f>
        <v xml:space="preserve"> </v>
      </c>
      <c r="K613" s="72" t="str">
        <f>IF(J613=mellemmåltid,mellemmåltidspris," ")</f>
        <v xml:space="preserve"> </v>
      </c>
      <c r="L613" s="71" t="str">
        <f>IF(Tilmeldingsoversigt!$C$11="x",mellemmåltid," ")</f>
        <v xml:space="preserve"> </v>
      </c>
      <c r="M613" s="72" t="str">
        <f>IF(L613=mellemmåltid,mellemmåltidspris," ")</f>
        <v xml:space="preserve"> </v>
      </c>
      <c r="N613" s="71" t="str">
        <f>IF(Tilmeldingsoversigt!$C$11="x",mellemmåltid," ")</f>
        <v xml:space="preserve"> </v>
      </c>
      <c r="O613" s="73" t="str">
        <f>IF(N613=mellemmåltid,mellemmåltidspris," ")</f>
        <v xml:space="preserve"> </v>
      </c>
      <c r="P613" s="66"/>
    </row>
    <row r="614" spans="2:16" x14ac:dyDescent="0.25">
      <c r="B614" s="74" t="s">
        <v>44</v>
      </c>
      <c r="C614" s="11">
        <f>SUM(C609:C613)</f>
        <v>0</v>
      </c>
      <c r="D614" s="74"/>
      <c r="E614" s="11">
        <f ca="1">SUM(E609:E613)</f>
        <v>99.311475409836063</v>
      </c>
      <c r="F614" s="74"/>
      <c r="G614" s="11">
        <f ca="1">SUM(G609:G613)</f>
        <v>99.311475409836063</v>
      </c>
      <c r="H614" s="74"/>
      <c r="I614" s="11">
        <f ca="1">SUM(I609:I613)</f>
        <v>99.311475409836063</v>
      </c>
      <c r="J614" s="74"/>
      <c r="K614" s="11">
        <f ca="1">SUM(K609:K613)</f>
        <v>99.311475409836063</v>
      </c>
      <c r="L614" s="74"/>
      <c r="M614" s="11">
        <f ca="1">SUM(M609:M613)</f>
        <v>99.311475409836063</v>
      </c>
      <c r="N614" s="74"/>
      <c r="O614" s="12">
        <f ca="1">SUM(O609:O613)</f>
        <v>99.311475409836063</v>
      </c>
      <c r="P614" s="75">
        <f ca="1">SUMIF(B607:N607,"&lt;8",C614:O614)</f>
        <v>297.93442622950818</v>
      </c>
    </row>
    <row r="615" spans="2:16" x14ac:dyDescent="0.2">
      <c r="B615" s="76"/>
      <c r="C615" s="77"/>
      <c r="D615" s="77"/>
      <c r="E615" s="77"/>
      <c r="F615" s="77"/>
      <c r="G615" s="77"/>
      <c r="H615" s="77"/>
      <c r="I615" s="77"/>
      <c r="J615" s="77"/>
      <c r="K615" s="77"/>
      <c r="L615" s="77"/>
      <c r="M615" s="77"/>
      <c r="N615" s="77"/>
      <c r="O615" s="77"/>
      <c r="P615" s="76"/>
    </row>
    <row r="616" spans="2:16" ht="12.75" x14ac:dyDescent="0.25">
      <c r="B616" s="78">
        <f>N607+1</f>
        <v>4</v>
      </c>
      <c r="C616" s="79"/>
      <c r="D616" s="78">
        <f>B616+1</f>
        <v>5</v>
      </c>
      <c r="E616" s="79"/>
      <c r="F616" s="78">
        <f>D616+1</f>
        <v>6</v>
      </c>
      <c r="G616" s="79"/>
      <c r="H616" s="78">
        <f>F616+1</f>
        <v>7</v>
      </c>
      <c r="I616" s="79"/>
      <c r="J616" s="78">
        <f>H616+1</f>
        <v>8</v>
      </c>
      <c r="K616" s="79"/>
      <c r="L616" s="78">
        <f>J616+1</f>
        <v>9</v>
      </c>
      <c r="M616" s="79"/>
      <c r="N616" s="78">
        <f>L616+1</f>
        <v>10</v>
      </c>
      <c r="O616" s="79"/>
      <c r="P616" s="80"/>
    </row>
    <row r="617" spans="2:16" x14ac:dyDescent="0.25">
      <c r="B617" s="64" t="s">
        <v>42</v>
      </c>
      <c r="C617" s="81" t="s">
        <v>43</v>
      </c>
      <c r="D617" s="64" t="s">
        <v>42</v>
      </c>
      <c r="E617" s="81" t="s">
        <v>43</v>
      </c>
      <c r="F617" s="64" t="s">
        <v>42</v>
      </c>
      <c r="G617" s="81" t="s">
        <v>43</v>
      </c>
      <c r="H617" s="64" t="s">
        <v>42</v>
      </c>
      <c r="I617" s="81" t="s">
        <v>43</v>
      </c>
      <c r="J617" s="64" t="s">
        <v>42</v>
      </c>
      <c r="K617" s="81" t="s">
        <v>43</v>
      </c>
      <c r="L617" s="64" t="s">
        <v>42</v>
      </c>
      <c r="M617" s="81" t="s">
        <v>43</v>
      </c>
      <c r="N617" s="64" t="s">
        <v>42</v>
      </c>
      <c r="O617" s="82" t="s">
        <v>43</v>
      </c>
      <c r="P617" s="66"/>
    </row>
    <row r="618" spans="2:16" x14ac:dyDescent="0.25">
      <c r="B618" s="136" t="str">
        <f>IF(Tilmeldingsoversigt!$C$7="x",Morgenmad," ")</f>
        <v>Morgenmad</v>
      </c>
      <c r="C618" s="67">
        <f ca="1">IF(B618=Morgenmad,Tilmeldingsoversigt!$C$15," ")</f>
        <v>16.754098360655739</v>
      </c>
      <c r="D618" s="136" t="str">
        <f>IF(Tilmeldingsoversigt!$D$7="x",Morgenmad," ")</f>
        <v>Morgenmad</v>
      </c>
      <c r="E618" s="67">
        <f ca="1">IF(D618=Morgenmad,Tilmeldingsoversigt!$C$15," ")</f>
        <v>16.754098360655739</v>
      </c>
      <c r="F618" s="136" t="str">
        <f>IF(Tilmeldingsoversigt!$E$7="x",Morgenmad," ")</f>
        <v>Morgenmad</v>
      </c>
      <c r="G618" s="67">
        <f ca="1">IF(F618=Morgenmad,Tilmeldingsoversigt!$C$15," ")</f>
        <v>16.754098360655739</v>
      </c>
      <c r="H618" s="136" t="str">
        <f>IF(Tilmeldingsoversigt!$F$7="x",Morgenmad," ")</f>
        <v>Morgenmad</v>
      </c>
      <c r="I618" s="67">
        <f ca="1">IF(H618=Morgenmad,Tilmeldingsoversigt!$C$15," ")</f>
        <v>16.754098360655739</v>
      </c>
      <c r="J618" s="136" t="str">
        <f>IF(Tilmeldingsoversigt!$G$7="x",Morgenmad," ")</f>
        <v>Morgenmad</v>
      </c>
      <c r="K618" s="67">
        <f ca="1">IF(J618=Morgenmad,Tilmeldingsoversigt!$C$15," ")</f>
        <v>16.754098360655739</v>
      </c>
      <c r="L618" s="136" t="str">
        <f>IF(Tilmeldingsoversigt!$H$7="x",Morgenmad," ")</f>
        <v>Morgenmad</v>
      </c>
      <c r="M618" s="67">
        <f ca="1">IF(L618=Morgenmad,Tilmeldingsoversigt!$C$15," ")</f>
        <v>16.754098360655739</v>
      </c>
      <c r="N618" s="136" t="str">
        <f>IF(Tilmeldingsoversigt!$I$7="x",Morgenmad," ")</f>
        <v>Morgenmad</v>
      </c>
      <c r="O618" s="83">
        <f ca="1">IF(N618=Morgenmad,Tilmeldingsoversigt!$C$15," ")</f>
        <v>16.754098360655739</v>
      </c>
      <c r="P618" s="66"/>
    </row>
    <row r="619" spans="2:16" x14ac:dyDescent="0.25">
      <c r="B619" s="68" t="str">
        <f>IF(Tilmeldingsoversigt!$C$8="x",hovedret," ")</f>
        <v>Hovedret</v>
      </c>
      <c r="C619" s="69">
        <f ca="1">IF(B619=hovedret,Tilmeldingsoversigt!$C$16," ")</f>
        <v>55.016393442622949</v>
      </c>
      <c r="D619" s="68" t="str">
        <f>IF(Tilmeldingsoversigt!$D$8="x",hovedret," ")</f>
        <v>Hovedret</v>
      </c>
      <c r="E619" s="69">
        <f ca="1">IF(D619=hovedret,Tilmeldingsoversigt!$C$16," ")</f>
        <v>55.016393442622949</v>
      </c>
      <c r="F619" s="68" t="str">
        <f>IF(Tilmeldingsoversigt!$E$8="x",hovedret," ")</f>
        <v>Hovedret</v>
      </c>
      <c r="G619" s="69">
        <f ca="1">IF(F619=hovedret,Tilmeldingsoversigt!$C$16," ")</f>
        <v>55.016393442622949</v>
      </c>
      <c r="H619" s="68" t="str">
        <f>IF(Tilmeldingsoversigt!$F$8="x",hovedret," ")</f>
        <v>Hovedret</v>
      </c>
      <c r="I619" s="69">
        <f ca="1">IF(H619=hovedret,Tilmeldingsoversigt!$C$16," ")</f>
        <v>55.016393442622949</v>
      </c>
      <c r="J619" s="68" t="str">
        <f>IF(Tilmeldingsoversigt!$G$8="x",hovedret," ")</f>
        <v>Hovedret</v>
      </c>
      <c r="K619" s="69">
        <f ca="1">IF(J619=hovedret,Tilmeldingsoversigt!$C$16," ")</f>
        <v>55.016393442622949</v>
      </c>
      <c r="L619" s="68" t="str">
        <f>IF(Tilmeldingsoversigt!$H$8="x",hovedret," ")</f>
        <v>Hovedret</v>
      </c>
      <c r="M619" s="69">
        <f ca="1">IF(L619=hovedret,Tilmeldingsoversigt!$C$16," ")</f>
        <v>55.016393442622949</v>
      </c>
      <c r="N619" s="68" t="str">
        <f>IF(Tilmeldingsoversigt!$I$8="x",hovedret," ")</f>
        <v>Hovedret</v>
      </c>
      <c r="O619" s="70">
        <f ca="1">IF(N619=hovedret,Tilmeldingsoversigt!$C$16," ")</f>
        <v>55.016393442622949</v>
      </c>
      <c r="P619" s="66"/>
    </row>
    <row r="620" spans="2:16" x14ac:dyDescent="0.25">
      <c r="B620" s="68" t="str">
        <f>IF(Tilmeldingsoversigt!$C$9="x",Aftensmad," ")</f>
        <v>Aftensmad</v>
      </c>
      <c r="C620" s="69">
        <f ca="1">IF(B620=Aftensmad,Tilmeldingsoversigt!$C$17," ")</f>
        <v>27.540983606557376</v>
      </c>
      <c r="D620" s="68" t="str">
        <f>IF(Tilmeldingsoversigt!$D$9="x",Aftensmad," ")</f>
        <v>Aftensmad</v>
      </c>
      <c r="E620" s="69">
        <f ca="1">IF(D620=Aftensmad,Tilmeldingsoversigt!$C$17," ")</f>
        <v>27.540983606557376</v>
      </c>
      <c r="F620" s="68" t="str">
        <f>IF(Tilmeldingsoversigt!$E$9="x",Aftensmad," ")</f>
        <v>Aftensmad</v>
      </c>
      <c r="G620" s="69">
        <f ca="1">IF(F620=Aftensmad,Tilmeldingsoversigt!$C$17," ")</f>
        <v>27.540983606557376</v>
      </c>
      <c r="H620" s="68" t="str">
        <f>IF(Tilmeldingsoversigt!$F$9="x",Aftensmad," ")</f>
        <v>Aftensmad</v>
      </c>
      <c r="I620" s="69">
        <f ca="1">IF(H620=Aftensmad,Tilmeldingsoversigt!$C$17," ")</f>
        <v>27.540983606557376</v>
      </c>
      <c r="J620" s="68" t="str">
        <f>IF(Tilmeldingsoversigt!$G$9="x",Aftensmad," ")</f>
        <v>Aftensmad</v>
      </c>
      <c r="K620" s="69">
        <f ca="1">IF(J620=Aftensmad,Tilmeldingsoversigt!$C$17," ")</f>
        <v>27.540983606557376</v>
      </c>
      <c r="L620" s="68" t="str">
        <f>IF(Tilmeldingsoversigt!$H$9="x",Aftensmad," ")</f>
        <v>Aftensmad</v>
      </c>
      <c r="M620" s="69">
        <f ca="1">IF(L620=Aftensmad,Tilmeldingsoversigt!$C$17," ")</f>
        <v>27.540983606557376</v>
      </c>
      <c r="N620" s="68" t="str">
        <f>IF(Tilmeldingsoversigt!$I$9="x",Aftensmad," ")</f>
        <v>Aftensmad</v>
      </c>
      <c r="O620" s="70">
        <f ca="1">IF(N620=Aftensmad,Tilmeldingsoversigt!$C$17," ")</f>
        <v>27.540983606557376</v>
      </c>
      <c r="P620" s="66"/>
    </row>
    <row r="621" spans="2:16" x14ac:dyDescent="0.25">
      <c r="B621" s="68" t="str">
        <f>IF(Tilmeldingsoversigt!$C$10="x",biret," ")</f>
        <v>Biret</v>
      </c>
      <c r="C621" s="69">
        <f>IF(B621=biret,biretpris," ")</f>
        <v>0</v>
      </c>
      <c r="D621" s="68" t="str">
        <f>IF(Tilmeldingsoversigt!$D$10="x",biret," ")</f>
        <v>Biret</v>
      </c>
      <c r="E621" s="69">
        <f>IF(D621=biret,biretpris," ")</f>
        <v>0</v>
      </c>
      <c r="F621" s="68" t="str">
        <f>IF(Tilmeldingsoversigt!$E$10="x",biret," ")</f>
        <v>Biret</v>
      </c>
      <c r="G621" s="69">
        <f>IF(F621=biret,biretpris," ")</f>
        <v>0</v>
      </c>
      <c r="H621" s="68" t="str">
        <f>IF(Tilmeldingsoversigt!$F$10="x",biret," ")</f>
        <v>Biret</v>
      </c>
      <c r="I621" s="70">
        <f>IF(H621=biret,biretpris," ")</f>
        <v>0</v>
      </c>
      <c r="J621" s="68" t="str">
        <f>IF(Tilmeldingsoversigt!$G$10="x",biret," ")</f>
        <v>Biret</v>
      </c>
      <c r="K621" s="69">
        <f>IF(J621=biret,biretpris," ")</f>
        <v>0</v>
      </c>
      <c r="L621" s="68" t="str">
        <f>IF(Tilmeldingsoversigt!$H$10="x",biret," ")</f>
        <v>Biret</v>
      </c>
      <c r="M621" s="70">
        <f>IF(L621=biret,biretpris," ")</f>
        <v>0</v>
      </c>
      <c r="N621" s="68" t="str">
        <f>IF(Tilmeldingsoversigt!$I$10="x",biret," ")</f>
        <v>Biret</v>
      </c>
      <c r="O621" s="70">
        <f>IF(N621=biret,biretpris," ")</f>
        <v>0</v>
      </c>
      <c r="P621" s="66"/>
    </row>
    <row r="622" spans="2:16" x14ac:dyDescent="0.25">
      <c r="B622" s="71" t="str">
        <f>IF(Tilmeldingsoversigt!$C$11="x",mellemmåltid," ")</f>
        <v xml:space="preserve"> </v>
      </c>
      <c r="C622" s="72" t="str">
        <f>IF(B622=mellemmåltid,mellemmåltidspris," ")</f>
        <v xml:space="preserve"> </v>
      </c>
      <c r="D622" s="71" t="str">
        <f>IF(Tilmeldingsoversigt!$C$11="x",mellemmåltid," ")</f>
        <v xml:space="preserve"> </v>
      </c>
      <c r="E622" s="72" t="str">
        <f>IF(D622=mellemmåltid,mellemmåltidspris," ")</f>
        <v xml:space="preserve"> </v>
      </c>
      <c r="F622" s="71" t="str">
        <f>IF(Tilmeldingsoversigt!$C$11="x",mellemmåltid," ")</f>
        <v xml:space="preserve"> </v>
      </c>
      <c r="G622" s="72" t="str">
        <f>IF(F622=mellemmåltid,mellemmåltidspris," ")</f>
        <v xml:space="preserve"> </v>
      </c>
      <c r="H622" s="71" t="str">
        <f>IF(Tilmeldingsoversigt!$C$11="x",mellemmåltid," ")</f>
        <v xml:space="preserve"> </v>
      </c>
      <c r="I622" s="73" t="str">
        <f>IF(H622=mellemmåltid,mellemmåltidspris," ")</f>
        <v xml:space="preserve"> </v>
      </c>
      <c r="J622" s="71" t="str">
        <f>IF(Tilmeldingsoversigt!$C$11="x",mellemmåltid," ")</f>
        <v xml:space="preserve"> </v>
      </c>
      <c r="K622" s="72" t="str">
        <f>IF(J622=mellemmåltid,mellemmåltidspris," ")</f>
        <v xml:space="preserve"> </v>
      </c>
      <c r="L622" s="71" t="str">
        <f>IF(Tilmeldingsoversigt!$C$11="x",mellemmåltid," ")</f>
        <v xml:space="preserve"> </v>
      </c>
      <c r="M622" s="73" t="str">
        <f>IF(L622=mellemmåltid,mellemmåltidspris," ")</f>
        <v xml:space="preserve"> </v>
      </c>
      <c r="N622" s="71" t="str">
        <f>IF(Tilmeldingsoversigt!$C$11="x",mellemmåltid," ")</f>
        <v xml:space="preserve"> </v>
      </c>
      <c r="O622" s="73" t="str">
        <f>IF(N622=mellemmåltid,mellemmåltidspris," ")</f>
        <v xml:space="preserve"> </v>
      </c>
      <c r="P622" s="66"/>
    </row>
    <row r="623" spans="2:16" x14ac:dyDescent="0.25">
      <c r="B623" s="74" t="s">
        <v>44</v>
      </c>
      <c r="C623" s="11">
        <f ca="1">SUM(C618:C622)</f>
        <v>99.311475409836063</v>
      </c>
      <c r="D623" s="74"/>
      <c r="E623" s="11">
        <f ca="1">SUM(E618:E622)</f>
        <v>99.311475409836063</v>
      </c>
      <c r="F623" s="74"/>
      <c r="G623" s="11">
        <f ca="1">SUM(G618:G622)</f>
        <v>99.311475409836063</v>
      </c>
      <c r="H623" s="74"/>
      <c r="I623" s="11">
        <f ca="1">SUM(I618:I622)</f>
        <v>99.311475409836063</v>
      </c>
      <c r="J623" s="74"/>
      <c r="K623" s="11">
        <f ca="1">SUM(K618:K622)</f>
        <v>99.311475409836063</v>
      </c>
      <c r="L623" s="74"/>
      <c r="M623" s="11">
        <f ca="1">SUM(M618:M622)</f>
        <v>99.311475409836063</v>
      </c>
      <c r="N623" s="74"/>
      <c r="O623" s="12">
        <f ca="1">SUM(O618:O622)</f>
        <v>99.311475409836063</v>
      </c>
      <c r="P623" s="75">
        <f ca="1">SUM(C623,E623,G623,I623,K623,M623,O623)</f>
        <v>695.18032786885237</v>
      </c>
    </row>
    <row r="624" spans="2:16" x14ac:dyDescent="0.2">
      <c r="B624" s="76"/>
      <c r="C624" s="77"/>
      <c r="D624" s="77"/>
      <c r="E624" s="77"/>
      <c r="F624" s="77"/>
      <c r="G624" s="77"/>
      <c r="H624" s="77"/>
      <c r="I624" s="77"/>
      <c r="J624" s="77"/>
      <c r="K624" s="77"/>
      <c r="L624" s="77"/>
      <c r="M624" s="77"/>
      <c r="N624" s="77"/>
      <c r="O624" s="77"/>
      <c r="P624" s="76"/>
    </row>
    <row r="625" spans="2:16" ht="12.75" x14ac:dyDescent="0.25">
      <c r="B625" s="78">
        <f>N616+1</f>
        <v>11</v>
      </c>
      <c r="C625" s="79"/>
      <c r="D625" s="78">
        <f>B625+1</f>
        <v>12</v>
      </c>
      <c r="E625" s="79"/>
      <c r="F625" s="78">
        <f>D625+1</f>
        <v>13</v>
      </c>
      <c r="G625" s="79"/>
      <c r="H625" s="78">
        <f>F625+1</f>
        <v>14</v>
      </c>
      <c r="I625" s="79"/>
      <c r="J625" s="78">
        <f>H625+1</f>
        <v>15</v>
      </c>
      <c r="K625" s="79"/>
      <c r="L625" s="78">
        <f>J625+1</f>
        <v>16</v>
      </c>
      <c r="M625" s="79"/>
      <c r="N625" s="78">
        <f>L625+1</f>
        <v>17</v>
      </c>
      <c r="O625" s="79"/>
      <c r="P625" s="80"/>
    </row>
    <row r="626" spans="2:16" x14ac:dyDescent="0.25">
      <c r="B626" s="64" t="s">
        <v>42</v>
      </c>
      <c r="C626" s="81" t="s">
        <v>43</v>
      </c>
      <c r="D626" s="64" t="s">
        <v>42</v>
      </c>
      <c r="E626" s="81" t="s">
        <v>43</v>
      </c>
      <c r="F626" s="64" t="s">
        <v>42</v>
      </c>
      <c r="G626" s="81" t="s">
        <v>43</v>
      </c>
      <c r="H626" s="64" t="s">
        <v>42</v>
      </c>
      <c r="I626" s="81" t="s">
        <v>43</v>
      </c>
      <c r="J626" s="64" t="s">
        <v>42</v>
      </c>
      <c r="K626" s="81" t="s">
        <v>43</v>
      </c>
      <c r="L626" s="64" t="s">
        <v>42</v>
      </c>
      <c r="M626" s="81" t="s">
        <v>43</v>
      </c>
      <c r="N626" s="64" t="s">
        <v>42</v>
      </c>
      <c r="O626" s="82" t="s">
        <v>43</v>
      </c>
      <c r="P626" s="66"/>
    </row>
    <row r="627" spans="2:16" x14ac:dyDescent="0.25">
      <c r="B627" s="136" t="str">
        <f>IF(Tilmeldingsoversigt!$C$7="x",Morgenmad," ")</f>
        <v>Morgenmad</v>
      </c>
      <c r="C627" s="67">
        <f ca="1">IF(B627=Morgenmad,Tilmeldingsoversigt!$C$15," ")</f>
        <v>16.754098360655739</v>
      </c>
      <c r="D627" s="136" t="str">
        <f>IF(Tilmeldingsoversigt!$D$7="x",Morgenmad," ")</f>
        <v>Morgenmad</v>
      </c>
      <c r="E627" s="67">
        <f ca="1">IF(D627=Morgenmad,Tilmeldingsoversigt!$C$15," ")</f>
        <v>16.754098360655739</v>
      </c>
      <c r="F627" s="136" t="str">
        <f>IF(Tilmeldingsoversigt!$E$7="x",Morgenmad," ")</f>
        <v>Morgenmad</v>
      </c>
      <c r="G627" s="67">
        <f ca="1">IF(F627=Morgenmad,Tilmeldingsoversigt!$C$15," ")</f>
        <v>16.754098360655739</v>
      </c>
      <c r="H627" s="136" t="str">
        <f>IF(Tilmeldingsoversigt!$F$7="x",Morgenmad," ")</f>
        <v>Morgenmad</v>
      </c>
      <c r="I627" s="67">
        <f ca="1">IF(H627=Morgenmad,Tilmeldingsoversigt!$C$15," ")</f>
        <v>16.754098360655739</v>
      </c>
      <c r="J627" s="136" t="str">
        <f>IF(Tilmeldingsoversigt!$G$7="x",Morgenmad," ")</f>
        <v>Morgenmad</v>
      </c>
      <c r="K627" s="67">
        <f ca="1">IF(J627=Morgenmad,Tilmeldingsoversigt!$C$15," ")</f>
        <v>16.754098360655739</v>
      </c>
      <c r="L627" s="136" t="str">
        <f>IF(Tilmeldingsoversigt!$H$7="x",Morgenmad," ")</f>
        <v>Morgenmad</v>
      </c>
      <c r="M627" s="67">
        <f ca="1">IF(L627=Morgenmad,Tilmeldingsoversigt!$C$15," ")</f>
        <v>16.754098360655739</v>
      </c>
      <c r="N627" s="136" t="str">
        <f>IF(Tilmeldingsoversigt!$I$7="x",Morgenmad," ")</f>
        <v>Morgenmad</v>
      </c>
      <c r="O627" s="83">
        <f ca="1">IF(N627=Morgenmad,Tilmeldingsoversigt!$C$15," ")</f>
        <v>16.754098360655739</v>
      </c>
      <c r="P627" s="66"/>
    </row>
    <row r="628" spans="2:16" x14ac:dyDescent="0.25">
      <c r="B628" s="68" t="str">
        <f>IF(Tilmeldingsoversigt!$C$8="x",hovedret," ")</f>
        <v>Hovedret</v>
      </c>
      <c r="C628" s="69">
        <f ca="1">IF(B628=hovedret,Tilmeldingsoversigt!$C$16," ")</f>
        <v>55.016393442622949</v>
      </c>
      <c r="D628" s="68" t="str">
        <f>IF(Tilmeldingsoversigt!$D$8="x",hovedret," ")</f>
        <v>Hovedret</v>
      </c>
      <c r="E628" s="69">
        <f ca="1">IF(D628=hovedret,Tilmeldingsoversigt!$C$16," ")</f>
        <v>55.016393442622949</v>
      </c>
      <c r="F628" s="68" t="str">
        <f>IF(Tilmeldingsoversigt!$E$8="x",hovedret," ")</f>
        <v>Hovedret</v>
      </c>
      <c r="G628" s="69">
        <f ca="1">IF(F628=hovedret,Tilmeldingsoversigt!$C$16," ")</f>
        <v>55.016393442622949</v>
      </c>
      <c r="H628" s="68" t="str">
        <f>IF(Tilmeldingsoversigt!$F$8="x",hovedret," ")</f>
        <v>Hovedret</v>
      </c>
      <c r="I628" s="69">
        <f ca="1">IF(H628=hovedret,Tilmeldingsoversigt!$C$16," ")</f>
        <v>55.016393442622949</v>
      </c>
      <c r="J628" s="68" t="str">
        <f>IF(Tilmeldingsoversigt!$G$8="x",hovedret," ")</f>
        <v>Hovedret</v>
      </c>
      <c r="K628" s="69">
        <f ca="1">IF(J628=hovedret,Tilmeldingsoversigt!$C$16," ")</f>
        <v>55.016393442622949</v>
      </c>
      <c r="L628" s="68" t="str">
        <f>IF(Tilmeldingsoversigt!$H$8="x",hovedret," ")</f>
        <v>Hovedret</v>
      </c>
      <c r="M628" s="69">
        <f ca="1">IF(L628=hovedret,Tilmeldingsoversigt!$C$16," ")</f>
        <v>55.016393442622949</v>
      </c>
      <c r="N628" s="68" t="str">
        <f>IF(Tilmeldingsoversigt!$I$8="x",hovedret," ")</f>
        <v>Hovedret</v>
      </c>
      <c r="O628" s="70">
        <f ca="1">IF(N628=hovedret,Tilmeldingsoversigt!$C$16," ")</f>
        <v>55.016393442622949</v>
      </c>
      <c r="P628" s="66"/>
    </row>
    <row r="629" spans="2:16" x14ac:dyDescent="0.25">
      <c r="B629" s="68" t="str">
        <f>IF(Tilmeldingsoversigt!$C$9="x",Aftensmad," ")</f>
        <v>Aftensmad</v>
      </c>
      <c r="C629" s="69">
        <f ca="1">IF(B629=Aftensmad,Tilmeldingsoversigt!$C$17," ")</f>
        <v>27.540983606557376</v>
      </c>
      <c r="D629" s="68" t="str">
        <f>IF(Tilmeldingsoversigt!$D$9="x",Aftensmad," ")</f>
        <v>Aftensmad</v>
      </c>
      <c r="E629" s="69">
        <f ca="1">IF(D629=Aftensmad,Tilmeldingsoversigt!$C$17," ")</f>
        <v>27.540983606557376</v>
      </c>
      <c r="F629" s="68" t="str">
        <f>IF(Tilmeldingsoversigt!$E$9="x",Aftensmad," ")</f>
        <v>Aftensmad</v>
      </c>
      <c r="G629" s="69">
        <f ca="1">IF(F629=Aftensmad,Tilmeldingsoversigt!$C$17," ")</f>
        <v>27.540983606557376</v>
      </c>
      <c r="H629" s="68" t="str">
        <f>IF(Tilmeldingsoversigt!$F$9="x",Aftensmad," ")</f>
        <v>Aftensmad</v>
      </c>
      <c r="I629" s="69">
        <f ca="1">IF(H629=Aftensmad,Tilmeldingsoversigt!$C$17," ")</f>
        <v>27.540983606557376</v>
      </c>
      <c r="J629" s="68" t="str">
        <f>IF(Tilmeldingsoversigt!$G$9="x",Aftensmad," ")</f>
        <v>Aftensmad</v>
      </c>
      <c r="K629" s="69">
        <f ca="1">IF(J629=Aftensmad,Tilmeldingsoversigt!$C$17," ")</f>
        <v>27.540983606557376</v>
      </c>
      <c r="L629" s="68" t="str">
        <f>IF(Tilmeldingsoversigt!$H$9="x",Aftensmad," ")</f>
        <v>Aftensmad</v>
      </c>
      <c r="M629" s="69">
        <f ca="1">IF(L629=Aftensmad,Tilmeldingsoversigt!$C$17," ")</f>
        <v>27.540983606557376</v>
      </c>
      <c r="N629" s="68" t="str">
        <f>IF(Tilmeldingsoversigt!$I$9="x",Aftensmad," ")</f>
        <v>Aftensmad</v>
      </c>
      <c r="O629" s="70">
        <f ca="1">IF(N629=Aftensmad,Tilmeldingsoversigt!$C$17," ")</f>
        <v>27.540983606557376</v>
      </c>
      <c r="P629" s="66"/>
    </row>
    <row r="630" spans="2:16" x14ac:dyDescent="0.25">
      <c r="B630" s="68" t="str">
        <f>IF(Tilmeldingsoversigt!$C$10="x",biret," ")</f>
        <v>Biret</v>
      </c>
      <c r="C630" s="69">
        <f>IF(B630=biret,biretpris," ")</f>
        <v>0</v>
      </c>
      <c r="D630" s="68" t="str">
        <f>IF(Tilmeldingsoversigt!$D$10="x",biret," ")</f>
        <v>Biret</v>
      </c>
      <c r="E630" s="69">
        <f>IF(D630=biret,biretpris," ")</f>
        <v>0</v>
      </c>
      <c r="F630" s="68" t="str">
        <f>IF(Tilmeldingsoversigt!$E$10="x",biret," ")</f>
        <v>Biret</v>
      </c>
      <c r="G630" s="69">
        <f>IF(F630=biret,biretpris," ")</f>
        <v>0</v>
      </c>
      <c r="H630" s="68" t="str">
        <f>IF(Tilmeldingsoversigt!$F$10="x",biret," ")</f>
        <v>Biret</v>
      </c>
      <c r="I630" s="70">
        <f>IF(H630=biret,biretpris," ")</f>
        <v>0</v>
      </c>
      <c r="J630" s="68" t="str">
        <f>IF(Tilmeldingsoversigt!$G$10="x",biret," ")</f>
        <v>Biret</v>
      </c>
      <c r="K630" s="69">
        <f>IF(J630=biret,biretpris," ")</f>
        <v>0</v>
      </c>
      <c r="L630" s="68" t="str">
        <f>IF(Tilmeldingsoversigt!$H$10="x",biret," ")</f>
        <v>Biret</v>
      </c>
      <c r="M630" s="70">
        <f>IF(L630=biret,biretpris," ")</f>
        <v>0</v>
      </c>
      <c r="N630" s="68" t="str">
        <f>IF(Tilmeldingsoversigt!$I$10="x",biret," ")</f>
        <v>Biret</v>
      </c>
      <c r="O630" s="70">
        <f>IF(N630=biret,biretpris," ")</f>
        <v>0</v>
      </c>
      <c r="P630" s="66"/>
    </row>
    <row r="631" spans="2:16" x14ac:dyDescent="0.25">
      <c r="B631" s="71" t="str">
        <f>IF(Tilmeldingsoversigt!$C$11="x",mellemmåltid," ")</f>
        <v xml:space="preserve"> </v>
      </c>
      <c r="C631" s="72" t="str">
        <f>IF(B631=mellemmåltid,mellemmåltidspris," ")</f>
        <v xml:space="preserve"> </v>
      </c>
      <c r="D631" s="71" t="str">
        <f>IF(Tilmeldingsoversigt!$C$11="x",mellemmåltid," ")</f>
        <v xml:space="preserve"> </v>
      </c>
      <c r="E631" s="72" t="str">
        <f>IF(D631=mellemmåltid,mellemmåltidspris," ")</f>
        <v xml:space="preserve"> </v>
      </c>
      <c r="F631" s="71" t="str">
        <f>IF(Tilmeldingsoversigt!$C$11="x",mellemmåltid," ")</f>
        <v xml:space="preserve"> </v>
      </c>
      <c r="G631" s="72" t="str">
        <f>IF(F631=mellemmåltid,mellemmåltidspris," ")</f>
        <v xml:space="preserve"> </v>
      </c>
      <c r="H631" s="71" t="str">
        <f>IF(Tilmeldingsoversigt!$C$11="x",mellemmåltid," ")</f>
        <v xml:space="preserve"> </v>
      </c>
      <c r="I631" s="73" t="str">
        <f>IF(H631=mellemmåltid,mellemmåltidspris," ")</f>
        <v xml:space="preserve"> </v>
      </c>
      <c r="J631" s="71" t="str">
        <f>IF(Tilmeldingsoversigt!$C$11="x",mellemmåltid," ")</f>
        <v xml:space="preserve"> </v>
      </c>
      <c r="K631" s="72" t="str">
        <f>IF(J631=mellemmåltid,mellemmåltidspris," ")</f>
        <v xml:space="preserve"> </v>
      </c>
      <c r="L631" s="71" t="str">
        <f>IF(Tilmeldingsoversigt!$C$11="x",mellemmåltid," ")</f>
        <v xml:space="preserve"> </v>
      </c>
      <c r="M631" s="73" t="str">
        <f>IF(L631=mellemmåltid,mellemmåltidspris," ")</f>
        <v xml:space="preserve"> </v>
      </c>
      <c r="N631" s="71" t="str">
        <f>IF(Tilmeldingsoversigt!$C$11="x",mellemmåltid," ")</f>
        <v xml:space="preserve"> </v>
      </c>
      <c r="O631" s="73" t="str">
        <f>IF(N631=mellemmåltid,mellemmåltidspris," ")</f>
        <v xml:space="preserve"> </v>
      </c>
      <c r="P631" s="66"/>
    </row>
    <row r="632" spans="2:16" x14ac:dyDescent="0.25">
      <c r="B632" s="84" t="s">
        <v>44</v>
      </c>
      <c r="C632" s="11">
        <f ca="1">SUM(C627:C631)</f>
        <v>99.311475409836063</v>
      </c>
      <c r="D632" s="74"/>
      <c r="E632" s="11">
        <f ca="1">SUM(E627:E631)</f>
        <v>99.311475409836063</v>
      </c>
      <c r="F632" s="74"/>
      <c r="G632" s="11">
        <f ca="1">SUM(G627:G631)</f>
        <v>99.311475409836063</v>
      </c>
      <c r="H632" s="74"/>
      <c r="I632" s="11">
        <f ca="1">SUM(I627:I631)</f>
        <v>99.311475409836063</v>
      </c>
      <c r="J632" s="74"/>
      <c r="K632" s="11">
        <f ca="1">SUM(K627:K631)</f>
        <v>99.311475409836063</v>
      </c>
      <c r="L632" s="74"/>
      <c r="M632" s="11">
        <f ca="1">SUM(M627:M631)</f>
        <v>99.311475409836063</v>
      </c>
      <c r="N632" s="74"/>
      <c r="O632" s="12">
        <f ca="1">SUM(O627:O631)</f>
        <v>99.311475409836063</v>
      </c>
      <c r="P632" s="75">
        <f ca="1">SUM(C632,E632,G632,I632,K632,M632,O632)</f>
        <v>695.18032786885237</v>
      </c>
    </row>
    <row r="633" spans="2:16" x14ac:dyDescent="0.2">
      <c r="B633" s="76"/>
      <c r="C633" s="77"/>
      <c r="D633" s="77"/>
      <c r="E633" s="77"/>
      <c r="F633" s="77"/>
      <c r="G633" s="77"/>
      <c r="H633" s="77"/>
      <c r="I633" s="77"/>
      <c r="J633" s="77"/>
      <c r="K633" s="77"/>
      <c r="L633" s="77"/>
      <c r="M633" s="77"/>
      <c r="N633" s="77"/>
      <c r="O633" s="77"/>
      <c r="P633" s="76"/>
    </row>
    <row r="634" spans="2:16" ht="12.75" x14ac:dyDescent="0.25">
      <c r="B634" s="78">
        <f>N625+1</f>
        <v>18</v>
      </c>
      <c r="C634" s="79"/>
      <c r="D634" s="78">
        <f>B634+1</f>
        <v>19</v>
      </c>
      <c r="E634" s="79"/>
      <c r="F634" s="78">
        <f>D634+1</f>
        <v>20</v>
      </c>
      <c r="G634" s="79"/>
      <c r="H634" s="78">
        <f>F634+1</f>
        <v>21</v>
      </c>
      <c r="I634" s="79"/>
      <c r="J634" s="78">
        <f>H634+1</f>
        <v>22</v>
      </c>
      <c r="K634" s="79"/>
      <c r="L634" s="78">
        <f>J634+1</f>
        <v>23</v>
      </c>
      <c r="M634" s="79"/>
      <c r="N634" s="78">
        <f>L634+1</f>
        <v>24</v>
      </c>
      <c r="O634" s="79"/>
      <c r="P634" s="80"/>
    </row>
    <row r="635" spans="2:16" x14ac:dyDescent="0.25">
      <c r="B635" s="64" t="s">
        <v>42</v>
      </c>
      <c r="C635" s="81" t="s">
        <v>43</v>
      </c>
      <c r="D635" s="64" t="s">
        <v>42</v>
      </c>
      <c r="E635" s="81" t="s">
        <v>43</v>
      </c>
      <c r="F635" s="64" t="s">
        <v>42</v>
      </c>
      <c r="G635" s="81" t="s">
        <v>43</v>
      </c>
      <c r="H635" s="64" t="s">
        <v>42</v>
      </c>
      <c r="I635" s="81" t="s">
        <v>43</v>
      </c>
      <c r="J635" s="64" t="s">
        <v>42</v>
      </c>
      <c r="K635" s="81" t="s">
        <v>43</v>
      </c>
      <c r="L635" s="64" t="s">
        <v>42</v>
      </c>
      <c r="M635" s="81" t="s">
        <v>43</v>
      </c>
      <c r="N635" s="64" t="s">
        <v>42</v>
      </c>
      <c r="O635" s="82" t="s">
        <v>43</v>
      </c>
      <c r="P635" s="66"/>
    </row>
    <row r="636" spans="2:16" x14ac:dyDescent="0.25">
      <c r="B636" s="136" t="str">
        <f>IF(Tilmeldingsoversigt!$C$7="x",Morgenmad," ")</f>
        <v>Morgenmad</v>
      </c>
      <c r="C636" s="67">
        <f ca="1">IF(B636=Morgenmad,Tilmeldingsoversigt!$C$15," ")</f>
        <v>16.754098360655739</v>
      </c>
      <c r="D636" s="136" t="str">
        <f>IF(Tilmeldingsoversigt!$D$7="x",Morgenmad," ")</f>
        <v>Morgenmad</v>
      </c>
      <c r="E636" s="67">
        <f ca="1">IF(D636=Morgenmad,Tilmeldingsoversigt!$C$15," ")</f>
        <v>16.754098360655739</v>
      </c>
      <c r="F636" s="136" t="str">
        <f>IF(Tilmeldingsoversigt!$E$7="x",Morgenmad," ")</f>
        <v>Morgenmad</v>
      </c>
      <c r="G636" s="67">
        <f ca="1">IF(F636=Morgenmad,Tilmeldingsoversigt!$C$15," ")</f>
        <v>16.754098360655739</v>
      </c>
      <c r="H636" s="136" t="str">
        <f>IF(Tilmeldingsoversigt!$F$7="x",Morgenmad," ")</f>
        <v>Morgenmad</v>
      </c>
      <c r="I636" s="67">
        <f ca="1">IF(H636=Morgenmad,Tilmeldingsoversigt!$C$15," ")</f>
        <v>16.754098360655739</v>
      </c>
      <c r="J636" s="136" t="str">
        <f>IF(Tilmeldingsoversigt!$G$7="x",Morgenmad," ")</f>
        <v>Morgenmad</v>
      </c>
      <c r="K636" s="67">
        <f ca="1">IF(J636=Morgenmad,Tilmeldingsoversigt!$C$15," ")</f>
        <v>16.754098360655739</v>
      </c>
      <c r="L636" s="136" t="str">
        <f>IF(Tilmeldingsoversigt!$H$7="x",Morgenmad," ")</f>
        <v>Morgenmad</v>
      </c>
      <c r="M636" s="67">
        <f ca="1">IF(L636=Morgenmad,Tilmeldingsoversigt!$C$15," ")</f>
        <v>16.754098360655739</v>
      </c>
      <c r="N636" s="136" t="str">
        <f>IF(Tilmeldingsoversigt!$I$7="x",Morgenmad," ")</f>
        <v>Morgenmad</v>
      </c>
      <c r="O636" s="83">
        <f ca="1">IF(N636=Morgenmad,Tilmeldingsoversigt!$C$15," ")</f>
        <v>16.754098360655739</v>
      </c>
      <c r="P636" s="66"/>
    </row>
    <row r="637" spans="2:16" x14ac:dyDescent="0.25">
      <c r="B637" s="68" t="str">
        <f>IF(Tilmeldingsoversigt!$C$8="x",hovedret," ")</f>
        <v>Hovedret</v>
      </c>
      <c r="C637" s="69">
        <f ca="1">IF(B637=hovedret,Tilmeldingsoversigt!$C$16," ")</f>
        <v>55.016393442622949</v>
      </c>
      <c r="D637" s="68" t="str">
        <f>IF(Tilmeldingsoversigt!$D$8="x",hovedret," ")</f>
        <v>Hovedret</v>
      </c>
      <c r="E637" s="69">
        <f ca="1">IF(D637=hovedret,Tilmeldingsoversigt!$C$16," ")</f>
        <v>55.016393442622949</v>
      </c>
      <c r="F637" s="68" t="str">
        <f>IF(Tilmeldingsoversigt!$E$8="x",hovedret," ")</f>
        <v>Hovedret</v>
      </c>
      <c r="G637" s="69">
        <f ca="1">IF(F637=hovedret,Tilmeldingsoversigt!$C$16," ")</f>
        <v>55.016393442622949</v>
      </c>
      <c r="H637" s="68" t="str">
        <f>IF(Tilmeldingsoversigt!$F$8="x",hovedret," ")</f>
        <v>Hovedret</v>
      </c>
      <c r="I637" s="69">
        <f ca="1">IF(H637=hovedret,Tilmeldingsoversigt!$C$16," ")</f>
        <v>55.016393442622949</v>
      </c>
      <c r="J637" s="68" t="str">
        <f>IF(Tilmeldingsoversigt!$G$8="x",hovedret," ")</f>
        <v>Hovedret</v>
      </c>
      <c r="K637" s="69">
        <f ca="1">IF(J637=hovedret,Tilmeldingsoversigt!$C$16," ")</f>
        <v>55.016393442622949</v>
      </c>
      <c r="L637" s="68" t="str">
        <f>IF(Tilmeldingsoversigt!$H$8="x",hovedret," ")</f>
        <v>Hovedret</v>
      </c>
      <c r="M637" s="69">
        <f ca="1">IF(L637=hovedret,Tilmeldingsoversigt!$C$16," ")</f>
        <v>55.016393442622949</v>
      </c>
      <c r="N637" s="68" t="str">
        <f>IF(Tilmeldingsoversigt!$I$8="x",hovedret," ")</f>
        <v>Hovedret</v>
      </c>
      <c r="O637" s="70">
        <f ca="1">IF(N637=hovedret,Tilmeldingsoversigt!$C$16," ")</f>
        <v>55.016393442622949</v>
      </c>
      <c r="P637" s="66"/>
    </row>
    <row r="638" spans="2:16" x14ac:dyDescent="0.25">
      <c r="B638" s="68" t="str">
        <f>IF(Tilmeldingsoversigt!$C$9="x",Aftensmad," ")</f>
        <v>Aftensmad</v>
      </c>
      <c r="C638" s="69">
        <f ca="1">IF(B638=Aftensmad,Tilmeldingsoversigt!$C$17," ")</f>
        <v>27.540983606557376</v>
      </c>
      <c r="D638" s="68" t="str">
        <f>IF(Tilmeldingsoversigt!$D$9="x",Aftensmad," ")</f>
        <v>Aftensmad</v>
      </c>
      <c r="E638" s="69">
        <f ca="1">IF(D638=Aftensmad,Tilmeldingsoversigt!$C$17," ")</f>
        <v>27.540983606557376</v>
      </c>
      <c r="F638" s="68" t="str">
        <f>IF(Tilmeldingsoversigt!$E$9="x",Aftensmad," ")</f>
        <v>Aftensmad</v>
      </c>
      <c r="G638" s="69">
        <f ca="1">IF(F638=Aftensmad,Tilmeldingsoversigt!$C$17," ")</f>
        <v>27.540983606557376</v>
      </c>
      <c r="H638" s="68" t="str">
        <f>IF(Tilmeldingsoversigt!$F$9="x",Aftensmad," ")</f>
        <v>Aftensmad</v>
      </c>
      <c r="I638" s="69">
        <f ca="1">IF(H638=Aftensmad,Tilmeldingsoversigt!$C$17," ")</f>
        <v>27.540983606557376</v>
      </c>
      <c r="J638" s="68" t="str">
        <f>IF(Tilmeldingsoversigt!$G$9="x",Aftensmad," ")</f>
        <v>Aftensmad</v>
      </c>
      <c r="K638" s="69">
        <f ca="1">IF(J638=Aftensmad,Tilmeldingsoversigt!$C$17," ")</f>
        <v>27.540983606557376</v>
      </c>
      <c r="L638" s="68" t="str">
        <f>IF(Tilmeldingsoversigt!$H$9="x",Aftensmad," ")</f>
        <v>Aftensmad</v>
      </c>
      <c r="M638" s="69">
        <f ca="1">IF(L638=Aftensmad,Tilmeldingsoversigt!$C$17," ")</f>
        <v>27.540983606557376</v>
      </c>
      <c r="N638" s="68" t="str">
        <f>IF(Tilmeldingsoversigt!$I$9="x",Aftensmad," ")</f>
        <v>Aftensmad</v>
      </c>
      <c r="O638" s="70">
        <f ca="1">IF(N638=Aftensmad,Tilmeldingsoversigt!$C$17," ")</f>
        <v>27.540983606557376</v>
      </c>
      <c r="P638" s="66"/>
    </row>
    <row r="639" spans="2:16" x14ac:dyDescent="0.25">
      <c r="B639" s="68" t="str">
        <f>IF(Tilmeldingsoversigt!$C$10="x",biret," ")</f>
        <v>Biret</v>
      </c>
      <c r="C639" s="69">
        <f>IF(B639=biret,biretpris," ")</f>
        <v>0</v>
      </c>
      <c r="D639" s="68" t="str">
        <f>IF(Tilmeldingsoversigt!$D$10="x",biret," ")</f>
        <v>Biret</v>
      </c>
      <c r="E639" s="69">
        <f>IF(D639=biret,biretpris," ")</f>
        <v>0</v>
      </c>
      <c r="F639" s="68" t="str">
        <f>IF(Tilmeldingsoversigt!$E$10="x",biret," ")</f>
        <v>Biret</v>
      </c>
      <c r="G639" s="69">
        <f>IF(F639=biret,biretpris," ")</f>
        <v>0</v>
      </c>
      <c r="H639" s="68" t="str">
        <f>IF(Tilmeldingsoversigt!$F$10="x",biret," ")</f>
        <v>Biret</v>
      </c>
      <c r="I639" s="70">
        <f>IF(H639=biret,biretpris," ")</f>
        <v>0</v>
      </c>
      <c r="J639" s="68" t="str">
        <f>IF(Tilmeldingsoversigt!$G$10="x",biret," ")</f>
        <v>Biret</v>
      </c>
      <c r="K639" s="69">
        <f>IF(J639=biret,biretpris," ")</f>
        <v>0</v>
      </c>
      <c r="L639" s="68" t="str">
        <f>IF(Tilmeldingsoversigt!$H$10="x",biret," ")</f>
        <v>Biret</v>
      </c>
      <c r="M639" s="70">
        <f>IF(L639=biret,biretpris," ")</f>
        <v>0</v>
      </c>
      <c r="N639" s="68" t="str">
        <f>IF(Tilmeldingsoversigt!$I$10="x",biret," ")</f>
        <v>Biret</v>
      </c>
      <c r="O639" s="70">
        <f>IF(N639=biret,biretpris," ")</f>
        <v>0</v>
      </c>
      <c r="P639" s="66"/>
    </row>
    <row r="640" spans="2:16" x14ac:dyDescent="0.25">
      <c r="B640" s="71" t="str">
        <f>IF(Tilmeldingsoversigt!$C$11="x",mellemmåltid," ")</f>
        <v xml:space="preserve"> </v>
      </c>
      <c r="C640" s="72" t="str">
        <f>IF(B640=mellemmåltid,mellemmåltidspris," ")</f>
        <v xml:space="preserve"> </v>
      </c>
      <c r="D640" s="71" t="str">
        <f>IF(Tilmeldingsoversigt!$C$11="x",mellemmåltid," ")</f>
        <v xml:space="preserve"> </v>
      </c>
      <c r="E640" s="72" t="str">
        <f>IF(D640=mellemmåltid,mellemmåltidspris," ")</f>
        <v xml:space="preserve"> </v>
      </c>
      <c r="F640" s="71" t="str">
        <f>IF(Tilmeldingsoversigt!$C$11="x",mellemmåltid," ")</f>
        <v xml:space="preserve"> </v>
      </c>
      <c r="G640" s="72" t="str">
        <f>IF(F640=mellemmåltid,mellemmåltidspris," ")</f>
        <v xml:space="preserve"> </v>
      </c>
      <c r="H640" s="71" t="str">
        <f>IF(Tilmeldingsoversigt!$C$11="x",mellemmåltid," ")</f>
        <v xml:space="preserve"> </v>
      </c>
      <c r="I640" s="73" t="str">
        <f>IF(H640=mellemmåltid,mellemmåltidspris," ")</f>
        <v xml:space="preserve"> </v>
      </c>
      <c r="J640" s="71" t="str">
        <f>IF(Tilmeldingsoversigt!$C$11="x",mellemmåltid," ")</f>
        <v xml:space="preserve"> </v>
      </c>
      <c r="K640" s="72" t="str">
        <f>IF(J640=mellemmåltid,mellemmåltidspris," ")</f>
        <v xml:space="preserve"> </v>
      </c>
      <c r="L640" s="71" t="str">
        <f>IF(Tilmeldingsoversigt!$C$11="x",mellemmåltid," ")</f>
        <v xml:space="preserve"> </v>
      </c>
      <c r="M640" s="73" t="str">
        <f>IF(L640=mellemmåltid,mellemmåltidspris," ")</f>
        <v xml:space="preserve"> </v>
      </c>
      <c r="N640" s="71" t="str">
        <f>IF(Tilmeldingsoversigt!$C$11="x",mellemmåltid," ")</f>
        <v xml:space="preserve"> </v>
      </c>
      <c r="O640" s="73" t="str">
        <f>IF(N640=mellemmåltid,mellemmåltidspris," ")</f>
        <v xml:space="preserve"> </v>
      </c>
      <c r="P640" s="66"/>
    </row>
    <row r="641" spans="2:16" x14ac:dyDescent="0.25">
      <c r="B641" s="74" t="s">
        <v>44</v>
      </c>
      <c r="C641" s="11">
        <f ca="1">SUM(C636:C640)</f>
        <v>99.311475409836063</v>
      </c>
      <c r="D641" s="74"/>
      <c r="E641" s="11">
        <f ca="1">SUM(E636:E640)</f>
        <v>99.311475409836063</v>
      </c>
      <c r="F641" s="74"/>
      <c r="G641" s="11">
        <f ca="1">SUM(G636:G640)</f>
        <v>99.311475409836063</v>
      </c>
      <c r="H641" s="74"/>
      <c r="I641" s="11">
        <f ca="1">SUM(I636:I640)</f>
        <v>99.311475409836063</v>
      </c>
      <c r="J641" s="74"/>
      <c r="K641" s="11">
        <f ca="1">SUM(K636:K640)</f>
        <v>99.311475409836063</v>
      </c>
      <c r="L641" s="74"/>
      <c r="M641" s="11">
        <f ca="1">SUM(M636:M640)</f>
        <v>99.311475409836063</v>
      </c>
      <c r="N641" s="74"/>
      <c r="O641" s="12">
        <f ca="1">SUM(O636:O640)</f>
        <v>99.311475409836063</v>
      </c>
      <c r="P641" s="75">
        <f ca="1">SUM(C641,E641,G641,I641,K641,M641,O641)</f>
        <v>695.18032786885237</v>
      </c>
    </row>
    <row r="642" spans="2:16" x14ac:dyDescent="0.2">
      <c r="B642" s="76"/>
      <c r="C642" s="77"/>
      <c r="D642" s="77"/>
      <c r="E642" s="77"/>
      <c r="F642" s="77"/>
      <c r="G642" s="77"/>
      <c r="H642" s="77"/>
      <c r="I642" s="77"/>
      <c r="J642" s="77"/>
      <c r="K642" s="77"/>
      <c r="L642" s="77"/>
      <c r="M642" s="77"/>
      <c r="N642" s="77"/>
      <c r="O642" s="77"/>
      <c r="P642" s="76"/>
    </row>
    <row r="643" spans="2:16" ht="12.75" x14ac:dyDescent="0.25">
      <c r="B643" s="78">
        <f>DAY(IF(DAY(NovSøn1)=1,NovSøn1+22,NovSøn1+29))</f>
        <v>25</v>
      </c>
      <c r="C643" s="79"/>
      <c r="D643" s="78">
        <f>DAY(IF(DAY(NovSøn1)=1,NovSøn1+23,NovSøn1+30))</f>
        <v>26</v>
      </c>
      <c r="E643" s="79"/>
      <c r="F643" s="78">
        <f>DAY(IF(DAY(NovSøn1)=1,NovSøn1+24,NovSøn1+31))</f>
        <v>27</v>
      </c>
      <c r="G643" s="79"/>
      <c r="H643" s="78">
        <f>DAY(IF(DAY(NovSøn1)=1,NovSøn1+25,NovSøn1+32))</f>
        <v>28</v>
      </c>
      <c r="I643" s="79"/>
      <c r="J643" s="78">
        <f>DAY(IF(DAY(NovSøn1)=1,NovSøn1+26,NovSøn1+33))</f>
        <v>29</v>
      </c>
      <c r="K643" s="79"/>
      <c r="L643" s="78">
        <f>DAY(IF(DAY(NovSøn1)=1,NovSøn1+27,NovSøn1+34))</f>
        <v>30</v>
      </c>
      <c r="M643" s="79"/>
      <c r="N643" s="78">
        <f>DAY(IF(DAY(NovSøn1)=1,NovSøn1+28,NovSøn1+35))</f>
        <v>1</v>
      </c>
      <c r="O643" s="79"/>
      <c r="P643" s="85"/>
    </row>
    <row r="644" spans="2:16" x14ac:dyDescent="0.25">
      <c r="B644" s="64" t="s">
        <v>42</v>
      </c>
      <c r="C644" s="81" t="s">
        <v>43</v>
      </c>
      <c r="D644" s="64" t="s">
        <v>42</v>
      </c>
      <c r="E644" s="81" t="s">
        <v>43</v>
      </c>
      <c r="F644" s="64" t="s">
        <v>42</v>
      </c>
      <c r="G644" s="81" t="s">
        <v>43</v>
      </c>
      <c r="H644" s="64" t="s">
        <v>42</v>
      </c>
      <c r="I644" s="81" t="s">
        <v>43</v>
      </c>
      <c r="J644" s="64" t="s">
        <v>42</v>
      </c>
      <c r="K644" s="81" t="s">
        <v>43</v>
      </c>
      <c r="L644" s="64" t="s">
        <v>42</v>
      </c>
      <c r="M644" s="81" t="s">
        <v>43</v>
      </c>
      <c r="N644" s="64" t="s">
        <v>42</v>
      </c>
      <c r="O644" s="82" t="s">
        <v>43</v>
      </c>
      <c r="P644" s="66"/>
    </row>
    <row r="645" spans="2:16" x14ac:dyDescent="0.25">
      <c r="B645" s="136" t="str">
        <f>IF(Tilmeldingsoversigt!$C$7="x",Morgenmad," ")</f>
        <v>Morgenmad</v>
      </c>
      <c r="C645" s="67">
        <f ca="1">IF(B645=Morgenmad,Tilmeldingsoversigt!$C$15," ")</f>
        <v>16.754098360655739</v>
      </c>
      <c r="D645" s="136" t="str">
        <f>IF(Tilmeldingsoversigt!$D$7="x",Morgenmad," ")</f>
        <v>Morgenmad</v>
      </c>
      <c r="E645" s="67">
        <f ca="1">IF(D645=Morgenmad,Tilmeldingsoversigt!$C$15," ")</f>
        <v>16.754098360655739</v>
      </c>
      <c r="F645" s="136" t="str">
        <f>IF(Tilmeldingsoversigt!$E$7="x",Morgenmad," ")</f>
        <v>Morgenmad</v>
      </c>
      <c r="G645" s="67">
        <f ca="1">IF(F645=Morgenmad,Tilmeldingsoversigt!$C$15," ")</f>
        <v>16.754098360655739</v>
      </c>
      <c r="H645" s="136"/>
      <c r="I645" s="67"/>
      <c r="J645" s="136"/>
      <c r="K645" s="67"/>
      <c r="L645" s="136"/>
      <c r="M645" s="67"/>
      <c r="N645" s="139"/>
      <c r="O645" s="86"/>
      <c r="P645" s="66"/>
    </row>
    <row r="646" spans="2:16" x14ac:dyDescent="0.25">
      <c r="B646" s="68" t="str">
        <f>IF(Tilmeldingsoversigt!$C$8="x",hovedret," ")</f>
        <v>Hovedret</v>
      </c>
      <c r="C646" s="69">
        <f ca="1">IF(B646=hovedret,Tilmeldingsoversigt!$C$16," ")</f>
        <v>55.016393442622949</v>
      </c>
      <c r="D646" s="68" t="str">
        <f>IF(Tilmeldingsoversigt!$D$8="x",hovedret," ")</f>
        <v>Hovedret</v>
      </c>
      <c r="E646" s="69">
        <f ca="1">IF(D646=hovedret,Tilmeldingsoversigt!$C$16," ")</f>
        <v>55.016393442622949</v>
      </c>
      <c r="F646" s="68" t="str">
        <f>IF(Tilmeldingsoversigt!$E$8="x",hovedret," ")</f>
        <v>Hovedret</v>
      </c>
      <c r="G646" s="69">
        <f ca="1">IF(F646=hovedret,Tilmeldingsoversigt!$C$16," ")</f>
        <v>55.016393442622949</v>
      </c>
      <c r="H646" s="68"/>
      <c r="I646" s="69"/>
      <c r="J646" s="68"/>
      <c r="K646" s="69"/>
      <c r="L646" s="68"/>
      <c r="M646" s="69"/>
      <c r="N646" s="87"/>
      <c r="O646" s="88"/>
      <c r="P646" s="66"/>
    </row>
    <row r="647" spans="2:16" x14ac:dyDescent="0.25">
      <c r="B647" s="68" t="str">
        <f>IF(Tilmeldingsoversigt!$C$9="x",Aftensmad," ")</f>
        <v>Aftensmad</v>
      </c>
      <c r="C647" s="69">
        <f ca="1">IF(B647=Aftensmad,Tilmeldingsoversigt!$C$17," ")</f>
        <v>27.540983606557376</v>
      </c>
      <c r="D647" s="68" t="str">
        <f>IF(Tilmeldingsoversigt!$D$9="x",Aftensmad," ")</f>
        <v>Aftensmad</v>
      </c>
      <c r="E647" s="69">
        <f ca="1">IF(D647=Aftensmad,Tilmeldingsoversigt!$C$17," ")</f>
        <v>27.540983606557376</v>
      </c>
      <c r="F647" s="68" t="str">
        <f>IF(Tilmeldingsoversigt!$E$9="x",Aftensmad," ")</f>
        <v>Aftensmad</v>
      </c>
      <c r="G647" s="69">
        <f ca="1">IF(F647=Aftensmad,Tilmeldingsoversigt!$C$17," ")</f>
        <v>27.540983606557376</v>
      </c>
      <c r="H647" s="68"/>
      <c r="I647" s="69"/>
      <c r="J647" s="68"/>
      <c r="K647" s="69"/>
      <c r="L647" s="68"/>
      <c r="M647" s="69"/>
      <c r="N647" s="87"/>
      <c r="O647" s="88"/>
      <c r="P647" s="66"/>
    </row>
    <row r="648" spans="2:16" x14ac:dyDescent="0.25">
      <c r="B648" s="68" t="str">
        <f>IF(Tilmeldingsoversigt!$C$10="x",biret," ")</f>
        <v>Biret</v>
      </c>
      <c r="C648" s="69">
        <f>IF(B648=biret,biretpris," ")</f>
        <v>0</v>
      </c>
      <c r="D648" s="68" t="str">
        <f>IF(Tilmeldingsoversigt!$D$10="x",biret," ")</f>
        <v>Biret</v>
      </c>
      <c r="E648" s="69">
        <f>IF(D648=biret,biretpris," ")</f>
        <v>0</v>
      </c>
      <c r="F648" s="68" t="str">
        <f>IF(Tilmeldingsoversigt!$E$10="x",biret," ")</f>
        <v>Biret</v>
      </c>
      <c r="G648" s="69">
        <f>IF(F648=biret,biretpris," ")</f>
        <v>0</v>
      </c>
      <c r="H648" s="68"/>
      <c r="I648" s="70"/>
      <c r="J648" s="68"/>
      <c r="K648" s="69"/>
      <c r="L648" s="68"/>
      <c r="M648" s="70"/>
      <c r="N648" s="68"/>
      <c r="O648" s="70"/>
      <c r="P648" s="66"/>
    </row>
    <row r="649" spans="2:16" x14ac:dyDescent="0.25">
      <c r="B649" s="71" t="str">
        <f>IF(Tilmeldingsoversigt!$C$11="x",mellemmåltid," ")</f>
        <v xml:space="preserve"> </v>
      </c>
      <c r="C649" s="72" t="str">
        <f>IF(B649=mellemmåltid,mellemmåltidspris," ")</f>
        <v xml:space="preserve"> </v>
      </c>
      <c r="D649" s="71" t="str">
        <f>IF(Tilmeldingsoversigt!$C$11="x",mellemmåltid," ")</f>
        <v xml:space="preserve"> </v>
      </c>
      <c r="E649" s="72" t="str">
        <f>IF(D649=mellemmåltid,mellemmåltidspris," ")</f>
        <v xml:space="preserve"> </v>
      </c>
      <c r="F649" s="71" t="str">
        <f>IF(Tilmeldingsoversigt!$C$11="x",mellemmåltid," ")</f>
        <v xml:space="preserve"> </v>
      </c>
      <c r="G649" s="72" t="str">
        <f>IF(F649=mellemmåltid,mellemmåltidspris," ")</f>
        <v xml:space="preserve"> </v>
      </c>
      <c r="H649" s="71"/>
      <c r="I649" s="73"/>
      <c r="J649" s="71"/>
      <c r="K649" s="72"/>
      <c r="L649" s="71"/>
      <c r="M649" s="73"/>
      <c r="N649" s="71"/>
      <c r="O649" s="73"/>
      <c r="P649" s="66"/>
    </row>
    <row r="650" spans="2:16" x14ac:dyDescent="0.25">
      <c r="B650" s="74" t="s">
        <v>44</v>
      </c>
      <c r="C650" s="11">
        <f ca="1">SUM(C645:C649)</f>
        <v>99.311475409836063</v>
      </c>
      <c r="D650" s="74"/>
      <c r="E650" s="11">
        <f ca="1">SUM(E645:E649)</f>
        <v>99.311475409836063</v>
      </c>
      <c r="F650" s="74"/>
      <c r="G650" s="11">
        <f ca="1">SUM(G645:G649)</f>
        <v>99.311475409836063</v>
      </c>
      <c r="H650" s="74"/>
      <c r="I650" s="11">
        <f>SUM(I645:I649)</f>
        <v>0</v>
      </c>
      <c r="J650" s="74"/>
      <c r="K650" s="11">
        <f>SUM(K645:K649)</f>
        <v>0</v>
      </c>
      <c r="L650" s="74"/>
      <c r="M650" s="11">
        <f>SUM(M645:M649)</f>
        <v>0</v>
      </c>
      <c r="N650" s="74"/>
      <c r="O650" s="12">
        <f>SUM(O645:O649)</f>
        <v>0</v>
      </c>
      <c r="P650" s="75">
        <f ca="1">SUMIF(B643:N643,"&gt;="&amp;15,C650:O650)</f>
        <v>297.93442622950818</v>
      </c>
    </row>
    <row r="651" spans="2:16" x14ac:dyDescent="0.2">
      <c r="B651" s="76"/>
      <c r="C651" s="77"/>
      <c r="D651" s="77"/>
      <c r="E651" s="77"/>
      <c r="F651" s="77"/>
      <c r="G651" s="77"/>
      <c r="H651" s="77"/>
      <c r="I651" s="77"/>
      <c r="J651" s="77"/>
      <c r="K651" s="77"/>
      <c r="L651" s="77"/>
      <c r="M651" s="77"/>
      <c r="N651" s="77"/>
      <c r="O651" s="77"/>
      <c r="P651" s="76"/>
    </row>
    <row r="652" spans="2:16" ht="12.75" x14ac:dyDescent="0.25">
      <c r="B652" s="78">
        <f>DAY(IF(DAY(NovSøn1)=1,NovSøn1+29,NovSøn1+36))</f>
        <v>2</v>
      </c>
      <c r="C652" s="91"/>
      <c r="D652" s="78">
        <f>DAY(IF(DAY(NovSøn1)=1,NovSøn1+30,NovSøn1+37))</f>
        <v>3</v>
      </c>
      <c r="E652" s="79"/>
      <c r="F652" s="92">
        <f>DAY(IF(DAY(NovSøn1)=1,NovSøn1+31,NovSøn1+38))</f>
        <v>4</v>
      </c>
      <c r="G652" s="79"/>
      <c r="H652" s="78">
        <f>DAY(IF(DAY(NovSøn1)=1,NovSøn1+32,NovSøn1+39))</f>
        <v>5</v>
      </c>
      <c r="I652" s="79"/>
      <c r="J652" s="78">
        <f>DAY(IF(DAY(NovSøn1)=1,NovSøn1+33,NovSøn1+40))</f>
        <v>6</v>
      </c>
      <c r="K652" s="79"/>
      <c r="L652" s="78">
        <f>DAY(IF(DAY(NovSøn1)=1,NovSøn1+34,NovSøn1+41))</f>
        <v>7</v>
      </c>
      <c r="M652" s="79"/>
      <c r="N652" s="78">
        <f>DAY(IF(DAY(NovSøn1)=1,NovSøn1+35,NovSøn1+42))</f>
        <v>8</v>
      </c>
      <c r="O652" s="79"/>
      <c r="P652" s="85"/>
    </row>
    <row r="653" spans="2:16" x14ac:dyDescent="0.25">
      <c r="B653" s="64" t="s">
        <v>42</v>
      </c>
      <c r="C653" s="81" t="s">
        <v>43</v>
      </c>
      <c r="D653" s="64" t="s">
        <v>42</v>
      </c>
      <c r="E653" s="81" t="s">
        <v>43</v>
      </c>
      <c r="F653" s="64" t="s">
        <v>42</v>
      </c>
      <c r="G653" s="81" t="s">
        <v>43</v>
      </c>
      <c r="H653" s="64" t="s">
        <v>42</v>
      </c>
      <c r="I653" s="81" t="s">
        <v>43</v>
      </c>
      <c r="J653" s="64" t="s">
        <v>42</v>
      </c>
      <c r="K653" s="81" t="s">
        <v>43</v>
      </c>
      <c r="L653" s="64" t="s">
        <v>42</v>
      </c>
      <c r="M653" s="81" t="s">
        <v>43</v>
      </c>
      <c r="N653" s="64" t="s">
        <v>42</v>
      </c>
      <c r="O653" s="82" t="s">
        <v>43</v>
      </c>
      <c r="P653" s="66"/>
    </row>
    <row r="654" spans="2:16" x14ac:dyDescent="0.25">
      <c r="B654" s="136"/>
      <c r="C654" s="67"/>
      <c r="D654" s="136"/>
      <c r="E654" s="67"/>
      <c r="F654" s="136"/>
      <c r="G654" s="67"/>
      <c r="H654" s="136"/>
      <c r="I654" s="67"/>
      <c r="J654" s="136"/>
      <c r="K654" s="67"/>
      <c r="L654" s="136"/>
      <c r="M654" s="67"/>
      <c r="N654" s="136"/>
      <c r="O654" s="83"/>
      <c r="P654" s="66"/>
    </row>
    <row r="655" spans="2:16" x14ac:dyDescent="0.25">
      <c r="B655" s="68"/>
      <c r="C655" s="69"/>
      <c r="D655" s="68"/>
      <c r="E655" s="69"/>
      <c r="F655" s="68"/>
      <c r="G655" s="69"/>
      <c r="H655" s="68"/>
      <c r="I655" s="69"/>
      <c r="J655" s="68"/>
      <c r="K655" s="69"/>
      <c r="L655" s="68"/>
      <c r="M655" s="69"/>
      <c r="N655" s="68"/>
      <c r="O655" s="70"/>
      <c r="P655" s="66"/>
    </row>
    <row r="656" spans="2:16" x14ac:dyDescent="0.25">
      <c r="B656" s="68"/>
      <c r="C656" s="69"/>
      <c r="D656" s="68"/>
      <c r="E656" s="69"/>
      <c r="F656" s="68"/>
      <c r="G656" s="69"/>
      <c r="H656" s="68"/>
      <c r="I656" s="69"/>
      <c r="J656" s="68"/>
      <c r="K656" s="69"/>
      <c r="L656" s="68"/>
      <c r="M656" s="69"/>
      <c r="N656" s="68"/>
      <c r="O656" s="70"/>
      <c r="P656" s="66"/>
    </row>
    <row r="657" spans="2:16" x14ac:dyDescent="0.25">
      <c r="B657" s="68"/>
      <c r="C657" s="69"/>
      <c r="D657" s="68"/>
      <c r="E657" s="69"/>
      <c r="F657" s="68"/>
      <c r="G657" s="69"/>
      <c r="H657" s="68"/>
      <c r="I657" s="69"/>
      <c r="J657" s="68"/>
      <c r="K657" s="69"/>
      <c r="L657" s="68"/>
      <c r="M657" s="69"/>
      <c r="N657" s="68"/>
      <c r="O657" s="70"/>
      <c r="P657" s="66"/>
    </row>
    <row r="658" spans="2:16" x14ac:dyDescent="0.25">
      <c r="B658" s="71"/>
      <c r="C658" s="72"/>
      <c r="D658" s="71"/>
      <c r="E658" s="72"/>
      <c r="F658" s="71"/>
      <c r="G658" s="72"/>
      <c r="H658" s="71"/>
      <c r="I658" s="72"/>
      <c r="J658" s="71"/>
      <c r="K658" s="72"/>
      <c r="L658" s="71"/>
      <c r="M658" s="72"/>
      <c r="N658" s="71"/>
      <c r="O658" s="73"/>
      <c r="P658" s="66"/>
    </row>
    <row r="659" spans="2:16" x14ac:dyDescent="0.25">
      <c r="B659" s="74" t="s">
        <v>44</v>
      </c>
      <c r="C659" s="11">
        <f>SUM(C654:C658)</f>
        <v>0</v>
      </c>
      <c r="D659" s="74"/>
      <c r="E659" s="11">
        <f>SUM(E654:E658)</f>
        <v>0</v>
      </c>
      <c r="F659" s="74"/>
      <c r="G659" s="11">
        <f>SUM(G654:G658)</f>
        <v>0</v>
      </c>
      <c r="H659" s="74"/>
      <c r="I659" s="11">
        <f>SUM(I654:I658)</f>
        <v>0</v>
      </c>
      <c r="J659" s="74"/>
      <c r="K659" s="11">
        <f>SUM(K654:K658)</f>
        <v>0</v>
      </c>
      <c r="L659" s="74"/>
      <c r="M659" s="11">
        <f>SUM(M654:M658)</f>
        <v>0</v>
      </c>
      <c r="N659" s="74"/>
      <c r="O659" s="12">
        <f>SUM(O654:O658)</f>
        <v>0</v>
      </c>
      <c r="P659" s="75">
        <f>SUMIF(B652:N652,"&gt;="&amp;15,C659:O659)</f>
        <v>0</v>
      </c>
    </row>
    <row r="660" spans="2:16" ht="17.25" customHeight="1" x14ac:dyDescent="0.2"/>
    <row r="661" spans="2:16" ht="12" x14ac:dyDescent="0.2">
      <c r="B661" s="246" t="s">
        <v>55</v>
      </c>
      <c r="C661" s="246"/>
      <c r="D661" s="246"/>
      <c r="E661" s="246"/>
      <c r="F661" s="49"/>
      <c r="G661" s="132">
        <f ca="1">Tilmeldingsoversigt!$E$15-(31-'Tilmeldte måltider'!G662)*Morgenpris</f>
        <v>511</v>
      </c>
      <c r="H661" s="49"/>
      <c r="I661" s="132">
        <f ca="1">Tilmeldingsoversigt!$E$16-(31-'Tilmeldte måltider'!I662)*Frokostpris</f>
        <v>1678</v>
      </c>
      <c r="J661" s="49"/>
      <c r="K661" s="132">
        <f ca="1">Tilmeldingsoversigt!$E$17-(31-'Tilmeldte måltider'!K662)*Aftenpris</f>
        <v>840</v>
      </c>
      <c r="L661" s="247" t="s">
        <v>32</v>
      </c>
      <c r="M661" s="247"/>
      <c r="N661" s="247" t="s">
        <v>33</v>
      </c>
      <c r="O661" s="247"/>
      <c r="P661" s="49"/>
    </row>
    <row r="662" spans="2:16" ht="25.5" customHeight="1" x14ac:dyDescent="0.25">
      <c r="B662" s="246"/>
      <c r="C662" s="246"/>
      <c r="D662" s="246"/>
      <c r="E662" s="246"/>
      <c r="F662" s="97" t="str">
        <f>Morgenmad</f>
        <v>Morgenmad</v>
      </c>
      <c r="G662" s="97">
        <f ca="1">IF(L663=FALSE,0,(COUNTIF(B668:O718,Morgenmad)))</f>
        <v>31</v>
      </c>
      <c r="H662" s="97" t="str">
        <f>hovedret</f>
        <v>Hovedret</v>
      </c>
      <c r="I662" s="97">
        <f ca="1">IF(L663=FALSE,0,(COUNTIF(B668:O718,hovedret)))</f>
        <v>31</v>
      </c>
      <c r="J662" s="97" t="str">
        <f>Aftensmad</f>
        <v>Aftensmad</v>
      </c>
      <c r="K662" s="97">
        <f ca="1">IF(L663=FALSE,0,(COUNTIF(B669:O718,Aftensmad)))</f>
        <v>31</v>
      </c>
      <c r="L662" s="248">
        <f ca="1">IF(december_sum=0,0,månedligtotal)</f>
        <v>3000</v>
      </c>
      <c r="M662" s="249"/>
      <c r="N662" s="248">
        <f ca="1">hovedtotal</f>
        <v>36000.409836065577</v>
      </c>
      <c r="O662" s="250"/>
      <c r="P662" s="49"/>
    </row>
    <row r="663" spans="2:16" ht="25.5" customHeight="1" x14ac:dyDescent="0.45">
      <c r="B663" s="121"/>
      <c r="C663" s="121"/>
      <c r="D663" s="121"/>
      <c r="E663" s="121"/>
      <c r="F663" s="98" t="str">
        <f>biret</f>
        <v>Biret</v>
      </c>
      <c r="G663" s="97">
        <f ca="1">IF(november_sum=0,0,(COUNTIF($B$668:$O$717,biret)))</f>
        <v>31</v>
      </c>
      <c r="H663" s="98" t="str">
        <f>mellemmåltid</f>
        <v>Mellemmåltid</v>
      </c>
      <c r="I663" s="97">
        <f ca="1">IF(november_sum=0,0,(COUNTIF($B$668:$O$717,mellemmåltid)))</f>
        <v>0</v>
      </c>
      <c r="J663" s="98"/>
      <c r="K663" s="98"/>
      <c r="L663" s="243" t="b">
        <f>IF(AND(L664,N664)=TRUE,TRUE,FALSE)</f>
        <v>1</v>
      </c>
      <c r="M663" s="244"/>
      <c r="N663" s="137">
        <f ca="1">G661+I661+K661</f>
        <v>3029</v>
      </c>
      <c r="O663" s="137"/>
      <c r="P663" s="49"/>
    </row>
    <row r="664" spans="2:16" ht="25.5" hidden="1" customHeight="1" x14ac:dyDescent="0.45">
      <c r="B664" s="121"/>
      <c r="C664" s="121"/>
      <c r="D664" s="121"/>
      <c r="E664" s="121"/>
      <c r="F664" s="138"/>
      <c r="G664" s="138"/>
      <c r="H664" s="138"/>
      <c r="I664" s="138"/>
      <c r="J664" s="138"/>
      <c r="K664" s="138"/>
      <c r="L664" s="242" t="b">
        <f>IF(OR(VLOOKUP(start_måned,Dataark!$C$5:$D$16,2,FALSE)&lt;=12,$L$604=TRUE),TRUE,FALSE)</f>
        <v>1</v>
      </c>
      <c r="M664" s="242"/>
      <c r="N664" s="242" t="b">
        <f>IF(AND(VLOOKUP(slut_måned,Dataark!$C$5:$D$16,2,FALSE)&gt;=12,L664=TRUE),TRUE,FALSE)</f>
        <v>1</v>
      </c>
      <c r="O664" s="242"/>
      <c r="P664" s="49"/>
    </row>
    <row r="665" spans="2:16" ht="9" customHeight="1" x14ac:dyDescent="0.2">
      <c r="B665" s="260">
        <v>1</v>
      </c>
      <c r="C665" s="260"/>
      <c r="D665" s="260">
        <v>2</v>
      </c>
      <c r="E665" s="260"/>
      <c r="F665" s="260">
        <v>3</v>
      </c>
      <c r="G665" s="260"/>
      <c r="H665" s="260">
        <v>4</v>
      </c>
      <c r="I665" s="260"/>
      <c r="J665" s="260">
        <v>5</v>
      </c>
      <c r="K665" s="260"/>
      <c r="L665" s="260">
        <v>6</v>
      </c>
      <c r="M665" s="260"/>
      <c r="N665" s="260">
        <v>7</v>
      </c>
      <c r="O665" s="260"/>
      <c r="P665" s="135">
        <f ca="1">IF(L663=TRUE,(N663),0)</f>
        <v>3029</v>
      </c>
    </row>
    <row r="666" spans="2:16" ht="15" customHeight="1" x14ac:dyDescent="0.25">
      <c r="B666" s="265" t="s">
        <v>34</v>
      </c>
      <c r="C666" s="266"/>
      <c r="D666" s="267" t="s">
        <v>35</v>
      </c>
      <c r="E666" s="266" t="e">
        <f>IF(WEEKDAY(DATEVALUE(Month1&amp;" 1, "&amp;Year1))=COLUMN(#REF!),1,IF(LEN(C666)&gt;0,C666+1,""))</f>
        <v>#NAME?</v>
      </c>
      <c r="F666" s="267" t="s">
        <v>36</v>
      </c>
      <c r="G666" s="266" t="e">
        <f>IF(WEEKDAY(DATEVALUE(Month1&amp;" 1, "&amp;Year1))=COLUMN(#REF!),1,IF(LEN(E666)&gt;0,E666+1,""))</f>
        <v>#NAME?</v>
      </c>
      <c r="H666" s="267" t="s">
        <v>37</v>
      </c>
      <c r="I666" s="266" t="e">
        <f>IF(WEEKDAY(DATEVALUE(Month1&amp;" 1, "&amp;Year1))=COLUMN(#REF!),1,IF(LEN(G666)&gt;0,G666+1,""))</f>
        <v>#NAME?</v>
      </c>
      <c r="J666" s="125" t="s">
        <v>38</v>
      </c>
      <c r="K666" s="126" t="e">
        <f>IF(WEEKDAY(DATEVALUE(Month1&amp;" 1, "&amp;Year1))=COLUMN(#REF!),1,IF(LEN(I666)&gt;0,I666+1,""))</f>
        <v>#NAME?</v>
      </c>
      <c r="L666" s="127" t="s">
        <v>39</v>
      </c>
      <c r="M666" s="128" t="e">
        <f>IF(WEEKDAY(DATEVALUE(Month1&amp;" 1, "&amp;Year1))=COLUMN(#REF!),1,IF(LEN(K666)&gt;0,K666+1,""))</f>
        <v>#NAME?</v>
      </c>
      <c r="N666" s="127" t="s">
        <v>40</v>
      </c>
      <c r="O666" s="128" t="e">
        <f>IF(WEEKDAY(DATEVALUE(Month1&amp;" 1, "&amp;Year1))=COLUMN(#REF!),1,IF(LEN(M666)&gt;0,M666+1,""))</f>
        <v>#NAME?</v>
      </c>
      <c r="P666" s="53" t="s">
        <v>41</v>
      </c>
    </row>
    <row r="667" spans="2:16" ht="12.75" x14ac:dyDescent="0.25">
      <c r="B667" s="55">
        <f>DAY(IF(DAY(DecSøn1)=1,DecSøn1-6,DecSøn1+1))</f>
        <v>25</v>
      </c>
      <c r="C667" s="56"/>
      <c r="D667" s="57">
        <f>DAY(IF(DAY(DecSøn1)=1,DecSøn1-5,DecSøn1+2))</f>
        <v>26</v>
      </c>
      <c r="E667" s="56"/>
      <c r="F667" s="57">
        <f>DAY(IF(DAY(DecSøn1)=1,DecSøn1-4,DecSøn1+3))</f>
        <v>27</v>
      </c>
      <c r="G667" s="56"/>
      <c r="H667" s="57">
        <f>DAY(IF(DAY(DecSøn1)=1,DecSøn1-3,DecSøn1+4))</f>
        <v>28</v>
      </c>
      <c r="I667" s="56"/>
      <c r="J667" s="57">
        <f>DAY(IF(DAY(DecSøn1)=1,DecSøn1-2,DecSøn1+5))</f>
        <v>29</v>
      </c>
      <c r="K667" s="56"/>
      <c r="L667" s="57">
        <f>DAY(IF(DAY(DecSøn1)=1,DecSøn1-1,DecSøn1+6))</f>
        <v>30</v>
      </c>
      <c r="M667" s="56"/>
      <c r="N667" s="58">
        <f>DAY(IF(DAY(DecSøn1)=1,DecSøn1,DecSøn1+7))</f>
        <v>1</v>
      </c>
      <c r="O667" s="59"/>
      <c r="P667" s="60"/>
    </row>
    <row r="668" spans="2:16" x14ac:dyDescent="0.25">
      <c r="B668" s="61" t="s">
        <v>42</v>
      </c>
      <c r="C668" s="62" t="s">
        <v>43</v>
      </c>
      <c r="D668" s="63" t="s">
        <v>42</v>
      </c>
      <c r="E668" s="62" t="s">
        <v>43</v>
      </c>
      <c r="F668" s="63" t="s">
        <v>42</v>
      </c>
      <c r="G668" s="62" t="s">
        <v>43</v>
      </c>
      <c r="H668" s="63" t="s">
        <v>42</v>
      </c>
      <c r="I668" s="62" t="s">
        <v>43</v>
      </c>
      <c r="J668" s="63" t="s">
        <v>42</v>
      </c>
      <c r="K668" s="62" t="s">
        <v>43</v>
      </c>
      <c r="L668" s="63" t="s">
        <v>42</v>
      </c>
      <c r="M668" s="62" t="s">
        <v>43</v>
      </c>
      <c r="N668" s="64" t="s">
        <v>42</v>
      </c>
      <c r="O668" s="65" t="s">
        <v>43</v>
      </c>
      <c r="P668" s="66"/>
    </row>
    <row r="669" spans="2:16" x14ac:dyDescent="0.25">
      <c r="B669" s="136"/>
      <c r="C669" s="67"/>
      <c r="D669" s="136"/>
      <c r="E669" s="67"/>
      <c r="F669" s="136"/>
      <c r="G669" s="67"/>
      <c r="H669" s="136" t="str">
        <f>IF(Tilmeldingsoversigt!$F$7="x",Morgenmad," ")</f>
        <v>Morgenmad</v>
      </c>
      <c r="I669" s="67">
        <f ca="1">IF(H669=Morgenmad,Tilmeldingsoversigt!$C$15," ")</f>
        <v>16.754098360655739</v>
      </c>
      <c r="J669" s="136" t="str">
        <f>IF(Tilmeldingsoversigt!$G$7="x",Morgenmad," ")</f>
        <v>Morgenmad</v>
      </c>
      <c r="K669" s="67">
        <f ca="1">IF(J669=Morgenmad,Tilmeldingsoversigt!$C$15," ")</f>
        <v>16.754098360655739</v>
      </c>
      <c r="L669" s="136" t="str">
        <f>IF(Tilmeldingsoversigt!$H$7="x",Morgenmad," ")</f>
        <v>Morgenmad</v>
      </c>
      <c r="M669" s="67">
        <f ca="1">IF(L669=Morgenmad,Tilmeldingsoversigt!$C$15," ")</f>
        <v>16.754098360655739</v>
      </c>
      <c r="N669" s="136" t="str">
        <f>IF(Tilmeldingsoversigt!$I$7="x",Morgenmad," ")</f>
        <v>Morgenmad</v>
      </c>
      <c r="O669" s="83">
        <f ca="1">IF(N669=Morgenmad,Tilmeldingsoversigt!$C$15," ")</f>
        <v>16.754098360655739</v>
      </c>
      <c r="P669" s="66"/>
    </row>
    <row r="670" spans="2:16" x14ac:dyDescent="0.25">
      <c r="B670" s="68"/>
      <c r="C670" s="69"/>
      <c r="D670" s="68"/>
      <c r="E670" s="69"/>
      <c r="F670" s="68"/>
      <c r="G670" s="69"/>
      <c r="H670" s="68" t="str">
        <f>IF(Tilmeldingsoversigt!$F$8="x",hovedret," ")</f>
        <v>Hovedret</v>
      </c>
      <c r="I670" s="69">
        <f ca="1">IF(H670=hovedret,Tilmeldingsoversigt!$C$16," ")</f>
        <v>55.016393442622949</v>
      </c>
      <c r="J670" s="68" t="str">
        <f>IF(Tilmeldingsoversigt!$G$8="x",hovedret," ")</f>
        <v>Hovedret</v>
      </c>
      <c r="K670" s="69">
        <f ca="1">IF(J670=hovedret,Tilmeldingsoversigt!$C$16," ")</f>
        <v>55.016393442622949</v>
      </c>
      <c r="L670" s="68" t="str">
        <f>IF(Tilmeldingsoversigt!$H$8="x",hovedret," ")</f>
        <v>Hovedret</v>
      </c>
      <c r="M670" s="69">
        <f ca="1">IF(L670=hovedret,Tilmeldingsoversigt!$C$16," ")</f>
        <v>55.016393442622949</v>
      </c>
      <c r="N670" s="68" t="str">
        <f>IF(Tilmeldingsoversigt!$I$8="x",hovedret," ")</f>
        <v>Hovedret</v>
      </c>
      <c r="O670" s="70">
        <f ca="1">IF(N670=hovedret,Tilmeldingsoversigt!$C$16," ")</f>
        <v>55.016393442622949</v>
      </c>
      <c r="P670" s="66"/>
    </row>
    <row r="671" spans="2:16" x14ac:dyDescent="0.25">
      <c r="B671" s="68"/>
      <c r="C671" s="69"/>
      <c r="D671" s="68"/>
      <c r="E671" s="69"/>
      <c r="F671" s="68"/>
      <c r="G671" s="69"/>
      <c r="H671" s="68" t="str">
        <f>IF(Tilmeldingsoversigt!$F$9="x",Aftensmad," ")</f>
        <v>Aftensmad</v>
      </c>
      <c r="I671" s="69">
        <f ca="1">IF(H671=Aftensmad,Tilmeldingsoversigt!$C$17," ")</f>
        <v>27.540983606557376</v>
      </c>
      <c r="J671" s="68" t="str">
        <f>IF(Tilmeldingsoversigt!$G$9="x",Aftensmad," ")</f>
        <v>Aftensmad</v>
      </c>
      <c r="K671" s="69">
        <f ca="1">IF(J671=Aftensmad,Tilmeldingsoversigt!$C$17," ")</f>
        <v>27.540983606557376</v>
      </c>
      <c r="L671" s="68" t="str">
        <f>IF(Tilmeldingsoversigt!$H$9="x",Aftensmad," ")</f>
        <v>Aftensmad</v>
      </c>
      <c r="M671" s="69">
        <f ca="1">IF(L671=Aftensmad,Tilmeldingsoversigt!$C$17," ")</f>
        <v>27.540983606557376</v>
      </c>
      <c r="N671" s="68" t="str">
        <f>IF(Tilmeldingsoversigt!$I$9="x",Aftensmad," ")</f>
        <v>Aftensmad</v>
      </c>
      <c r="O671" s="70">
        <f ca="1">IF(N671=Aftensmad,Tilmeldingsoversigt!$C$17," ")</f>
        <v>27.540983606557376</v>
      </c>
      <c r="P671" s="66"/>
    </row>
    <row r="672" spans="2:16" x14ac:dyDescent="0.25">
      <c r="B672" s="68"/>
      <c r="C672" s="69"/>
      <c r="D672" s="68"/>
      <c r="E672" s="69"/>
      <c r="F672" s="68"/>
      <c r="G672" s="69"/>
      <c r="H672" s="68" t="str">
        <f>IF(Tilmeldingsoversigt!$F$10="x",biret," ")</f>
        <v>Biret</v>
      </c>
      <c r="I672" s="70">
        <f>IF(H672=biret,biretpris," ")</f>
        <v>0</v>
      </c>
      <c r="J672" s="68" t="str">
        <f>IF(Tilmeldingsoversigt!$G$10="x",biret," ")</f>
        <v>Biret</v>
      </c>
      <c r="K672" s="69">
        <f>IF(J672=biret,biretpris," ")</f>
        <v>0</v>
      </c>
      <c r="L672" s="68" t="str">
        <f>IF(Tilmeldingsoversigt!$H$10="x",biret," ")</f>
        <v>Biret</v>
      </c>
      <c r="M672" s="70">
        <f>IF(L672=biret,biretpris," ")</f>
        <v>0</v>
      </c>
      <c r="N672" s="68" t="str">
        <f>IF(Tilmeldingsoversigt!$I$10="x",biret," ")</f>
        <v>Biret</v>
      </c>
      <c r="O672" s="70">
        <f>IF(N672=biret,biretpris," ")</f>
        <v>0</v>
      </c>
      <c r="P672" s="66"/>
    </row>
    <row r="673" spans="2:16" x14ac:dyDescent="0.25">
      <c r="B673" s="71"/>
      <c r="C673" s="72"/>
      <c r="D673" s="71"/>
      <c r="E673" s="72"/>
      <c r="F673" s="71"/>
      <c r="G673" s="72"/>
      <c r="H673" s="71" t="str">
        <f>IF(Tilmeldingsoversigt!$C$11="x",mellemmåltid," ")</f>
        <v xml:space="preserve"> </v>
      </c>
      <c r="I673" s="73" t="str">
        <f>IF(H673=mellemmåltid,mellemmåltidspris," ")</f>
        <v xml:space="preserve"> </v>
      </c>
      <c r="J673" s="71" t="str">
        <f>IF(Tilmeldingsoversigt!$C$11="x",mellemmåltid," ")</f>
        <v xml:space="preserve"> </v>
      </c>
      <c r="K673" s="72" t="str">
        <f>IF(J673=mellemmåltid,mellemmåltidspris," ")</f>
        <v xml:space="preserve"> </v>
      </c>
      <c r="L673" s="71" t="str">
        <f>IF(Tilmeldingsoversigt!$C$11="x",mellemmåltid," ")</f>
        <v xml:space="preserve"> </v>
      </c>
      <c r="M673" s="73" t="str">
        <f>IF(L673=mellemmåltid,mellemmåltidspris," ")</f>
        <v xml:space="preserve"> </v>
      </c>
      <c r="N673" s="71" t="str">
        <f>IF(Tilmeldingsoversigt!$C$11="x",mellemmåltid," ")</f>
        <v xml:space="preserve"> </v>
      </c>
      <c r="O673" s="73" t="str">
        <f>IF(N673=mellemmåltid,mellemmåltidspris," ")</f>
        <v xml:space="preserve"> </v>
      </c>
      <c r="P673" s="66"/>
    </row>
    <row r="674" spans="2:16" x14ac:dyDescent="0.25">
      <c r="B674" s="74" t="s">
        <v>44</v>
      </c>
      <c r="C674" s="11">
        <f>SUM(C669:C673)</f>
        <v>0</v>
      </c>
      <c r="D674" s="74"/>
      <c r="E674" s="11">
        <f>SUM(E669:E673)</f>
        <v>0</v>
      </c>
      <c r="F674" s="74"/>
      <c r="G674" s="11">
        <f>SUM(G669:G673)</f>
        <v>0</v>
      </c>
      <c r="H674" s="74"/>
      <c r="I674" s="11">
        <f ca="1">SUM(I669:I673)</f>
        <v>99.311475409836063</v>
      </c>
      <c r="J674" s="74"/>
      <c r="K674" s="11">
        <f ca="1">SUM(K669:K673)</f>
        <v>99.311475409836063</v>
      </c>
      <c r="L674" s="74"/>
      <c r="M674" s="11">
        <f ca="1">SUM(M669:M673)</f>
        <v>99.311475409836063</v>
      </c>
      <c r="N674" s="74"/>
      <c r="O674" s="12">
        <f ca="1">SUM(O669:O673)</f>
        <v>99.311475409836063</v>
      </c>
      <c r="P674" s="75">
        <f ca="1">SUMIF(B667:N667,"&lt;8",C674:O674)</f>
        <v>99.311475409836063</v>
      </c>
    </row>
    <row r="675" spans="2:16" x14ac:dyDescent="0.2">
      <c r="B675" s="76"/>
      <c r="C675" s="77"/>
      <c r="D675" s="77"/>
      <c r="E675" s="77"/>
      <c r="F675" s="77"/>
      <c r="G675" s="77"/>
      <c r="H675" s="77"/>
      <c r="I675" s="77"/>
      <c r="J675" s="77"/>
      <c r="K675" s="77"/>
      <c r="L675" s="77"/>
      <c r="M675" s="77"/>
      <c r="N675" s="77"/>
      <c r="O675" s="77"/>
      <c r="P675" s="76"/>
    </row>
    <row r="676" spans="2:16" ht="12.75" x14ac:dyDescent="0.25">
      <c r="B676" s="78">
        <f>N667+1</f>
        <v>2</v>
      </c>
      <c r="C676" s="79"/>
      <c r="D676" s="78">
        <f>B676+1</f>
        <v>3</v>
      </c>
      <c r="E676" s="79"/>
      <c r="F676" s="78">
        <f>D676+1</f>
        <v>4</v>
      </c>
      <c r="G676" s="79"/>
      <c r="H676" s="78">
        <f>F676+1</f>
        <v>5</v>
      </c>
      <c r="I676" s="79"/>
      <c r="J676" s="78">
        <f>H676+1</f>
        <v>6</v>
      </c>
      <c r="K676" s="79"/>
      <c r="L676" s="78">
        <f>J676+1</f>
        <v>7</v>
      </c>
      <c r="M676" s="79"/>
      <c r="N676" s="78">
        <f>L676+1</f>
        <v>8</v>
      </c>
      <c r="O676" s="79"/>
      <c r="P676" s="80"/>
    </row>
    <row r="677" spans="2:16" x14ac:dyDescent="0.25">
      <c r="B677" s="64" t="s">
        <v>42</v>
      </c>
      <c r="C677" s="81" t="s">
        <v>43</v>
      </c>
      <c r="D677" s="64" t="s">
        <v>42</v>
      </c>
      <c r="E677" s="81" t="s">
        <v>43</v>
      </c>
      <c r="F677" s="64" t="s">
        <v>42</v>
      </c>
      <c r="G677" s="81" t="s">
        <v>43</v>
      </c>
      <c r="H677" s="64" t="s">
        <v>42</v>
      </c>
      <c r="I677" s="81" t="s">
        <v>43</v>
      </c>
      <c r="J677" s="64" t="s">
        <v>42</v>
      </c>
      <c r="K677" s="81" t="s">
        <v>43</v>
      </c>
      <c r="L677" s="64" t="s">
        <v>42</v>
      </c>
      <c r="M677" s="81" t="s">
        <v>43</v>
      </c>
      <c r="N677" s="64" t="s">
        <v>42</v>
      </c>
      <c r="O677" s="82" t="s">
        <v>43</v>
      </c>
      <c r="P677" s="66"/>
    </row>
    <row r="678" spans="2:16" x14ac:dyDescent="0.25">
      <c r="B678" s="136" t="str">
        <f>IF(Tilmeldingsoversigt!$C$7="x",Morgenmad," ")</f>
        <v>Morgenmad</v>
      </c>
      <c r="C678" s="67">
        <f ca="1">IF(B678=Morgenmad,Tilmeldingsoversigt!$C$15," ")</f>
        <v>16.754098360655739</v>
      </c>
      <c r="D678" s="136" t="str">
        <f>IF(Tilmeldingsoversigt!$D$7="x",Morgenmad," ")</f>
        <v>Morgenmad</v>
      </c>
      <c r="E678" s="67">
        <f ca="1">IF(D678=Morgenmad,Tilmeldingsoversigt!$C$15," ")</f>
        <v>16.754098360655739</v>
      </c>
      <c r="F678" s="136" t="str">
        <f>IF(Tilmeldingsoversigt!$E$7="x",Morgenmad," ")</f>
        <v>Morgenmad</v>
      </c>
      <c r="G678" s="67">
        <f ca="1">IF(F678=Morgenmad,Tilmeldingsoversigt!$C$15," ")</f>
        <v>16.754098360655739</v>
      </c>
      <c r="H678" s="136" t="str">
        <f>IF(Tilmeldingsoversigt!$F$7="x",Morgenmad," ")</f>
        <v>Morgenmad</v>
      </c>
      <c r="I678" s="67">
        <f ca="1">IF(H678=Morgenmad,Tilmeldingsoversigt!$C$15," ")</f>
        <v>16.754098360655739</v>
      </c>
      <c r="J678" s="136" t="str">
        <f>IF(Tilmeldingsoversigt!$G$7="x",Morgenmad," ")</f>
        <v>Morgenmad</v>
      </c>
      <c r="K678" s="67">
        <f ca="1">IF(J678=Morgenmad,Tilmeldingsoversigt!$C$15," ")</f>
        <v>16.754098360655739</v>
      </c>
      <c r="L678" s="136" t="str">
        <f>IF(Tilmeldingsoversigt!$H$7="x",Morgenmad," ")</f>
        <v>Morgenmad</v>
      </c>
      <c r="M678" s="67">
        <f ca="1">IF(L678=Morgenmad,Tilmeldingsoversigt!$C$15," ")</f>
        <v>16.754098360655739</v>
      </c>
      <c r="N678" s="136" t="str">
        <f>IF(Tilmeldingsoversigt!$I$7="x",Morgenmad," ")</f>
        <v>Morgenmad</v>
      </c>
      <c r="O678" s="83">
        <f ca="1">IF(N678=Morgenmad,Tilmeldingsoversigt!$C$15," ")</f>
        <v>16.754098360655739</v>
      </c>
      <c r="P678" s="66"/>
    </row>
    <row r="679" spans="2:16" x14ac:dyDescent="0.25">
      <c r="B679" s="68" t="str">
        <f>IF(Tilmeldingsoversigt!$C$8="x",hovedret," ")</f>
        <v>Hovedret</v>
      </c>
      <c r="C679" s="69">
        <f ca="1">IF(B679=hovedret,Tilmeldingsoversigt!$C$16," ")</f>
        <v>55.016393442622949</v>
      </c>
      <c r="D679" s="68" t="str">
        <f>IF(Tilmeldingsoversigt!$D$8="x",hovedret," ")</f>
        <v>Hovedret</v>
      </c>
      <c r="E679" s="69">
        <f ca="1">IF(D679=hovedret,Tilmeldingsoversigt!$C$16," ")</f>
        <v>55.016393442622949</v>
      </c>
      <c r="F679" s="68" t="str">
        <f>IF(Tilmeldingsoversigt!$E$8="x",hovedret," ")</f>
        <v>Hovedret</v>
      </c>
      <c r="G679" s="69">
        <f ca="1">IF(F679=hovedret,Tilmeldingsoversigt!$C$16," ")</f>
        <v>55.016393442622949</v>
      </c>
      <c r="H679" s="68" t="str">
        <f>IF(Tilmeldingsoversigt!$F$8="x",hovedret," ")</f>
        <v>Hovedret</v>
      </c>
      <c r="I679" s="69">
        <f ca="1">IF(H679=hovedret,Tilmeldingsoversigt!$C$16," ")</f>
        <v>55.016393442622949</v>
      </c>
      <c r="J679" s="68" t="str">
        <f>IF(Tilmeldingsoversigt!$G$8="x",hovedret," ")</f>
        <v>Hovedret</v>
      </c>
      <c r="K679" s="69">
        <f ca="1">IF(J679=hovedret,Tilmeldingsoversigt!$C$16," ")</f>
        <v>55.016393442622949</v>
      </c>
      <c r="L679" s="68" t="str">
        <f>IF(Tilmeldingsoversigt!$H$8="x",hovedret," ")</f>
        <v>Hovedret</v>
      </c>
      <c r="M679" s="69">
        <f ca="1">IF(L679=hovedret,Tilmeldingsoversigt!$C$16," ")</f>
        <v>55.016393442622949</v>
      </c>
      <c r="N679" s="68" t="str">
        <f>IF(Tilmeldingsoversigt!$I$8="x",hovedret," ")</f>
        <v>Hovedret</v>
      </c>
      <c r="O679" s="70">
        <f ca="1">IF(N679=hovedret,Tilmeldingsoversigt!$C$16," ")</f>
        <v>55.016393442622949</v>
      </c>
      <c r="P679" s="66"/>
    </row>
    <row r="680" spans="2:16" x14ac:dyDescent="0.25">
      <c r="B680" s="68" t="str">
        <f>IF(Tilmeldingsoversigt!$C$9="x",Aftensmad," ")</f>
        <v>Aftensmad</v>
      </c>
      <c r="C680" s="69">
        <f ca="1">IF(B680=Aftensmad,Tilmeldingsoversigt!$C$17," ")</f>
        <v>27.540983606557376</v>
      </c>
      <c r="D680" s="68" t="str">
        <f>IF(Tilmeldingsoversigt!$D$9="x",Aftensmad," ")</f>
        <v>Aftensmad</v>
      </c>
      <c r="E680" s="69">
        <f ca="1">IF(D680=Aftensmad,Tilmeldingsoversigt!$C$17," ")</f>
        <v>27.540983606557376</v>
      </c>
      <c r="F680" s="68" t="str">
        <f>IF(Tilmeldingsoversigt!$E$9="x",Aftensmad," ")</f>
        <v>Aftensmad</v>
      </c>
      <c r="G680" s="69">
        <f ca="1">IF(F680=Aftensmad,Tilmeldingsoversigt!$C$17," ")</f>
        <v>27.540983606557376</v>
      </c>
      <c r="H680" s="68" t="str">
        <f>IF(Tilmeldingsoversigt!$F$9="x",Aftensmad," ")</f>
        <v>Aftensmad</v>
      </c>
      <c r="I680" s="69">
        <f ca="1">IF(H680=Aftensmad,Tilmeldingsoversigt!$C$17," ")</f>
        <v>27.540983606557376</v>
      </c>
      <c r="J680" s="68" t="str">
        <f>IF(Tilmeldingsoversigt!$G$9="x",Aftensmad," ")</f>
        <v>Aftensmad</v>
      </c>
      <c r="K680" s="69">
        <f ca="1">IF(J680=Aftensmad,Tilmeldingsoversigt!$C$17," ")</f>
        <v>27.540983606557376</v>
      </c>
      <c r="L680" s="68" t="str">
        <f>IF(Tilmeldingsoversigt!$H$9="x",Aftensmad," ")</f>
        <v>Aftensmad</v>
      </c>
      <c r="M680" s="69">
        <f ca="1">IF(L680=Aftensmad,Tilmeldingsoversigt!$C$17," ")</f>
        <v>27.540983606557376</v>
      </c>
      <c r="N680" s="68" t="str">
        <f>IF(Tilmeldingsoversigt!$I$9="x",Aftensmad," ")</f>
        <v>Aftensmad</v>
      </c>
      <c r="O680" s="70">
        <f ca="1">IF(N680=Aftensmad,Tilmeldingsoversigt!$C$17," ")</f>
        <v>27.540983606557376</v>
      </c>
      <c r="P680" s="66"/>
    </row>
    <row r="681" spans="2:16" x14ac:dyDescent="0.25">
      <c r="B681" s="68" t="str">
        <f>IF(Tilmeldingsoversigt!$C$10="x",biret," ")</f>
        <v>Biret</v>
      </c>
      <c r="C681" s="69">
        <f>IF(B681=biret,biretpris," ")</f>
        <v>0</v>
      </c>
      <c r="D681" s="68" t="str">
        <f>IF(Tilmeldingsoversigt!$D$10="x",biret," ")</f>
        <v>Biret</v>
      </c>
      <c r="E681" s="69">
        <f>IF(D681=biret,biretpris," ")</f>
        <v>0</v>
      </c>
      <c r="F681" s="68" t="str">
        <f>IF(Tilmeldingsoversigt!$E$10="x",biret," ")</f>
        <v>Biret</v>
      </c>
      <c r="G681" s="69">
        <f>IF(F681=biret,biretpris," ")</f>
        <v>0</v>
      </c>
      <c r="H681" s="68" t="str">
        <f>IF(Tilmeldingsoversigt!$F$10="x",biret," ")</f>
        <v>Biret</v>
      </c>
      <c r="I681" s="70">
        <f>IF(H681=biret,biretpris," ")</f>
        <v>0</v>
      </c>
      <c r="J681" s="68" t="str">
        <f>IF(Tilmeldingsoversigt!$G$10="x",biret," ")</f>
        <v>Biret</v>
      </c>
      <c r="K681" s="69">
        <f>IF(J681=biret,biretpris," ")</f>
        <v>0</v>
      </c>
      <c r="L681" s="68" t="str">
        <f>IF(Tilmeldingsoversigt!$H$10="x",biret," ")</f>
        <v>Biret</v>
      </c>
      <c r="M681" s="70">
        <f>IF(L681=biret,biretpris," ")</f>
        <v>0</v>
      </c>
      <c r="N681" s="68" t="str">
        <f>IF(Tilmeldingsoversigt!$I$10="x",biret," ")</f>
        <v>Biret</v>
      </c>
      <c r="O681" s="70">
        <f>IF(N681=biret,biretpris," ")</f>
        <v>0</v>
      </c>
      <c r="P681" s="66"/>
    </row>
    <row r="682" spans="2:16" x14ac:dyDescent="0.25">
      <c r="B682" s="71" t="str">
        <f>IF(Tilmeldingsoversigt!$C$11="x",mellemmåltid," ")</f>
        <v xml:space="preserve"> </v>
      </c>
      <c r="C682" s="72" t="str">
        <f>IF(B682=mellemmåltid,mellemmåltidspris," ")</f>
        <v xml:space="preserve"> </v>
      </c>
      <c r="D682" s="71" t="str">
        <f>IF(Tilmeldingsoversigt!$C$11="x",mellemmåltid," ")</f>
        <v xml:space="preserve"> </v>
      </c>
      <c r="E682" s="72" t="str">
        <f>IF(D682=mellemmåltid,mellemmåltidspris," ")</f>
        <v xml:space="preserve"> </v>
      </c>
      <c r="F682" s="71" t="str">
        <f>IF(Tilmeldingsoversigt!$C$11="x",mellemmåltid," ")</f>
        <v xml:space="preserve"> </v>
      </c>
      <c r="G682" s="72" t="str">
        <f>IF(F682=mellemmåltid,mellemmåltidspris," ")</f>
        <v xml:space="preserve"> </v>
      </c>
      <c r="H682" s="71" t="str">
        <f>IF(Tilmeldingsoversigt!$C$11="x",mellemmåltid," ")</f>
        <v xml:space="preserve"> </v>
      </c>
      <c r="I682" s="73" t="str">
        <f>IF(H682=mellemmåltid,mellemmåltidspris," ")</f>
        <v xml:space="preserve"> </v>
      </c>
      <c r="J682" s="71" t="str">
        <f>IF(Tilmeldingsoversigt!$C$11="x",mellemmåltid," ")</f>
        <v xml:space="preserve"> </v>
      </c>
      <c r="K682" s="72" t="str">
        <f>IF(J682=mellemmåltid,mellemmåltidspris," ")</f>
        <v xml:space="preserve"> </v>
      </c>
      <c r="L682" s="71" t="str">
        <f>IF(Tilmeldingsoversigt!$C$11="x",mellemmåltid," ")</f>
        <v xml:space="preserve"> </v>
      </c>
      <c r="M682" s="73" t="str">
        <f>IF(L682=mellemmåltid,mellemmåltidspris," ")</f>
        <v xml:space="preserve"> </v>
      </c>
      <c r="N682" s="71" t="str">
        <f>IF(Tilmeldingsoversigt!$C$11="x",mellemmåltid," ")</f>
        <v xml:space="preserve"> </v>
      </c>
      <c r="O682" s="73" t="str">
        <f>IF(N682=mellemmåltid,mellemmåltidspris," ")</f>
        <v xml:space="preserve"> </v>
      </c>
      <c r="P682" s="66"/>
    </row>
    <row r="683" spans="2:16" x14ac:dyDescent="0.25">
      <c r="B683" s="74" t="s">
        <v>44</v>
      </c>
      <c r="C683" s="11">
        <f ca="1">SUM(C678:C682)</f>
        <v>99.311475409836063</v>
      </c>
      <c r="D683" s="74"/>
      <c r="E683" s="11">
        <f ca="1">SUM(E678:E682)</f>
        <v>99.311475409836063</v>
      </c>
      <c r="F683" s="74"/>
      <c r="G683" s="11">
        <f ca="1">SUM(G678:G682)</f>
        <v>99.311475409836063</v>
      </c>
      <c r="H683" s="74"/>
      <c r="I683" s="11">
        <f ca="1">SUM(I678:I682)</f>
        <v>99.311475409836063</v>
      </c>
      <c r="J683" s="74"/>
      <c r="K683" s="11">
        <f ca="1">SUM(K678:K682)</f>
        <v>99.311475409836063</v>
      </c>
      <c r="L683" s="74"/>
      <c r="M683" s="11">
        <f ca="1">SUM(M678:M682)</f>
        <v>99.311475409836063</v>
      </c>
      <c r="N683" s="74"/>
      <c r="O683" s="12">
        <f ca="1">SUM(O678:O682)</f>
        <v>99.311475409836063</v>
      </c>
      <c r="P683" s="75">
        <f ca="1">SUM(C683,E683,G683,I683,K683,M683,O683)</f>
        <v>695.18032786885237</v>
      </c>
    </row>
    <row r="684" spans="2:16" x14ac:dyDescent="0.2">
      <c r="B684" s="76"/>
      <c r="C684" s="77"/>
      <c r="D684" s="77"/>
      <c r="E684" s="77"/>
      <c r="F684" s="77"/>
      <c r="G684" s="77"/>
      <c r="H684" s="77"/>
      <c r="I684" s="77"/>
      <c r="J684" s="77"/>
      <c r="K684" s="77"/>
      <c r="L684" s="77"/>
      <c r="M684" s="77"/>
      <c r="N684" s="77"/>
      <c r="O684" s="77"/>
      <c r="P684" s="76"/>
    </row>
    <row r="685" spans="2:16" ht="12.75" x14ac:dyDescent="0.25">
      <c r="B685" s="78">
        <f>N676+1</f>
        <v>9</v>
      </c>
      <c r="C685" s="79"/>
      <c r="D685" s="78">
        <f>B685+1</f>
        <v>10</v>
      </c>
      <c r="E685" s="79"/>
      <c r="F685" s="78">
        <f>D685+1</f>
        <v>11</v>
      </c>
      <c r="G685" s="79"/>
      <c r="H685" s="78">
        <f>F685+1</f>
        <v>12</v>
      </c>
      <c r="I685" s="79"/>
      <c r="J685" s="78">
        <f>H685+1</f>
        <v>13</v>
      </c>
      <c r="K685" s="79"/>
      <c r="L685" s="78">
        <f>J685+1</f>
        <v>14</v>
      </c>
      <c r="M685" s="79"/>
      <c r="N685" s="78">
        <f>L685+1</f>
        <v>15</v>
      </c>
      <c r="O685" s="79"/>
      <c r="P685" s="80"/>
    </row>
    <row r="686" spans="2:16" x14ac:dyDescent="0.25">
      <c r="B686" s="64" t="s">
        <v>42</v>
      </c>
      <c r="C686" s="81" t="s">
        <v>43</v>
      </c>
      <c r="D686" s="64" t="s">
        <v>42</v>
      </c>
      <c r="E686" s="81" t="s">
        <v>43</v>
      </c>
      <c r="F686" s="64" t="s">
        <v>42</v>
      </c>
      <c r="G686" s="81" t="s">
        <v>43</v>
      </c>
      <c r="H686" s="64" t="s">
        <v>42</v>
      </c>
      <c r="I686" s="81" t="s">
        <v>43</v>
      </c>
      <c r="J686" s="64" t="s">
        <v>42</v>
      </c>
      <c r="K686" s="81" t="s">
        <v>43</v>
      </c>
      <c r="L686" s="64" t="s">
        <v>42</v>
      </c>
      <c r="M686" s="81" t="s">
        <v>43</v>
      </c>
      <c r="N686" s="64" t="s">
        <v>42</v>
      </c>
      <c r="O686" s="82" t="s">
        <v>43</v>
      </c>
      <c r="P686" s="66"/>
    </row>
    <row r="687" spans="2:16" x14ac:dyDescent="0.25">
      <c r="B687" s="136" t="str">
        <f>IF(Tilmeldingsoversigt!$C$7="x",Morgenmad," ")</f>
        <v>Morgenmad</v>
      </c>
      <c r="C687" s="67">
        <f ca="1">IF(B687=Morgenmad,Tilmeldingsoversigt!$C$15," ")</f>
        <v>16.754098360655739</v>
      </c>
      <c r="D687" s="136" t="str">
        <f>IF(Tilmeldingsoversigt!$D$7="x",Morgenmad," ")</f>
        <v>Morgenmad</v>
      </c>
      <c r="E687" s="67">
        <f ca="1">IF(D687=Morgenmad,Tilmeldingsoversigt!$C$15," ")</f>
        <v>16.754098360655739</v>
      </c>
      <c r="F687" s="136" t="str">
        <f>IF(Tilmeldingsoversigt!$E$7="x",Morgenmad," ")</f>
        <v>Morgenmad</v>
      </c>
      <c r="G687" s="67">
        <f ca="1">IF(F687=Morgenmad,Tilmeldingsoversigt!$C$15," ")</f>
        <v>16.754098360655739</v>
      </c>
      <c r="H687" s="136" t="str">
        <f>IF(Tilmeldingsoversigt!$F$7="x",Morgenmad," ")</f>
        <v>Morgenmad</v>
      </c>
      <c r="I687" s="67">
        <f ca="1">IF(H687=Morgenmad,Tilmeldingsoversigt!$C$15," ")</f>
        <v>16.754098360655739</v>
      </c>
      <c r="J687" s="136" t="str">
        <f>IF(Tilmeldingsoversigt!$G$7="x",Morgenmad," ")</f>
        <v>Morgenmad</v>
      </c>
      <c r="K687" s="67">
        <f ca="1">IF(J687=Morgenmad,Tilmeldingsoversigt!$C$15," ")</f>
        <v>16.754098360655739</v>
      </c>
      <c r="L687" s="136" t="str">
        <f>IF(Tilmeldingsoversigt!$H$7="x",Morgenmad," ")</f>
        <v>Morgenmad</v>
      </c>
      <c r="M687" s="67">
        <f ca="1">IF(L687=Morgenmad,Tilmeldingsoversigt!$C$15," ")</f>
        <v>16.754098360655739</v>
      </c>
      <c r="N687" s="136" t="str">
        <f>IF(Tilmeldingsoversigt!$I$7="x",Morgenmad," ")</f>
        <v>Morgenmad</v>
      </c>
      <c r="O687" s="83">
        <f ca="1">IF(N687=Morgenmad,Tilmeldingsoversigt!$C$15," ")</f>
        <v>16.754098360655739</v>
      </c>
      <c r="P687" s="66"/>
    </row>
    <row r="688" spans="2:16" x14ac:dyDescent="0.25">
      <c r="B688" s="68" t="str">
        <f>IF(Tilmeldingsoversigt!$C$8="x",hovedret," ")</f>
        <v>Hovedret</v>
      </c>
      <c r="C688" s="69">
        <f ca="1">IF(B688=hovedret,Tilmeldingsoversigt!$C$16," ")</f>
        <v>55.016393442622949</v>
      </c>
      <c r="D688" s="68" t="str">
        <f>IF(Tilmeldingsoversigt!$D$8="x",hovedret," ")</f>
        <v>Hovedret</v>
      </c>
      <c r="E688" s="69">
        <f ca="1">IF(D688=hovedret,Tilmeldingsoversigt!$C$16," ")</f>
        <v>55.016393442622949</v>
      </c>
      <c r="F688" s="68" t="str">
        <f>IF(Tilmeldingsoversigt!$E$8="x",hovedret," ")</f>
        <v>Hovedret</v>
      </c>
      <c r="G688" s="69">
        <f ca="1">IF(F688=hovedret,Tilmeldingsoversigt!$C$16," ")</f>
        <v>55.016393442622949</v>
      </c>
      <c r="H688" s="68" t="str">
        <f>IF(Tilmeldingsoversigt!$F$8="x",hovedret," ")</f>
        <v>Hovedret</v>
      </c>
      <c r="I688" s="69">
        <f ca="1">IF(H688=hovedret,Tilmeldingsoversigt!$C$16," ")</f>
        <v>55.016393442622949</v>
      </c>
      <c r="J688" s="68" t="str">
        <f>IF(Tilmeldingsoversigt!$G$8="x",hovedret," ")</f>
        <v>Hovedret</v>
      </c>
      <c r="K688" s="69">
        <f ca="1">IF(J688=hovedret,Tilmeldingsoversigt!$C$16," ")</f>
        <v>55.016393442622949</v>
      </c>
      <c r="L688" s="68" t="str">
        <f>IF(Tilmeldingsoversigt!$H$8="x",hovedret," ")</f>
        <v>Hovedret</v>
      </c>
      <c r="M688" s="69">
        <f ca="1">IF(L688=hovedret,Tilmeldingsoversigt!$C$16," ")</f>
        <v>55.016393442622949</v>
      </c>
      <c r="N688" s="68" t="str">
        <f>IF(Tilmeldingsoversigt!$I$8="x",hovedret," ")</f>
        <v>Hovedret</v>
      </c>
      <c r="O688" s="70">
        <f ca="1">IF(N688=hovedret,Tilmeldingsoversigt!$C$16," ")</f>
        <v>55.016393442622949</v>
      </c>
      <c r="P688" s="66"/>
    </row>
    <row r="689" spans="2:16" x14ac:dyDescent="0.25">
      <c r="B689" s="68" t="str">
        <f>IF(Tilmeldingsoversigt!$C$9="x",Aftensmad," ")</f>
        <v>Aftensmad</v>
      </c>
      <c r="C689" s="69">
        <f ca="1">IF(B689=Aftensmad,Tilmeldingsoversigt!$C$17," ")</f>
        <v>27.540983606557376</v>
      </c>
      <c r="D689" s="68" t="str">
        <f>IF(Tilmeldingsoversigt!$D$9="x",Aftensmad," ")</f>
        <v>Aftensmad</v>
      </c>
      <c r="E689" s="69">
        <f ca="1">IF(D689=Aftensmad,Tilmeldingsoversigt!$C$17," ")</f>
        <v>27.540983606557376</v>
      </c>
      <c r="F689" s="68" t="str">
        <f>IF(Tilmeldingsoversigt!$E$9="x",Aftensmad," ")</f>
        <v>Aftensmad</v>
      </c>
      <c r="G689" s="69">
        <f ca="1">IF(F689=Aftensmad,Tilmeldingsoversigt!$C$17," ")</f>
        <v>27.540983606557376</v>
      </c>
      <c r="H689" s="68" t="str">
        <f>IF(Tilmeldingsoversigt!$F$9="x",Aftensmad," ")</f>
        <v>Aftensmad</v>
      </c>
      <c r="I689" s="69">
        <f ca="1">IF(H689=Aftensmad,Tilmeldingsoversigt!$C$17," ")</f>
        <v>27.540983606557376</v>
      </c>
      <c r="J689" s="68" t="str">
        <f>IF(Tilmeldingsoversigt!$G$9="x",Aftensmad," ")</f>
        <v>Aftensmad</v>
      </c>
      <c r="K689" s="69">
        <f ca="1">IF(J689=Aftensmad,Tilmeldingsoversigt!$C$17," ")</f>
        <v>27.540983606557376</v>
      </c>
      <c r="L689" s="68" t="str">
        <f>IF(Tilmeldingsoversigt!$H$9="x",Aftensmad," ")</f>
        <v>Aftensmad</v>
      </c>
      <c r="M689" s="69">
        <f ca="1">IF(L689=Aftensmad,Tilmeldingsoversigt!$C$17," ")</f>
        <v>27.540983606557376</v>
      </c>
      <c r="N689" s="68" t="str">
        <f>IF(Tilmeldingsoversigt!$I$9="x",Aftensmad," ")</f>
        <v>Aftensmad</v>
      </c>
      <c r="O689" s="70">
        <f ca="1">IF(N689=Aftensmad,Tilmeldingsoversigt!$C$17," ")</f>
        <v>27.540983606557376</v>
      </c>
      <c r="P689" s="66"/>
    </row>
    <row r="690" spans="2:16" x14ac:dyDescent="0.25">
      <c r="B690" s="68" t="str">
        <f>IF(Tilmeldingsoversigt!$C$10="x",biret," ")</f>
        <v>Biret</v>
      </c>
      <c r="C690" s="69">
        <f>IF(B690=biret,biretpris," ")</f>
        <v>0</v>
      </c>
      <c r="D690" s="68" t="str">
        <f>IF(Tilmeldingsoversigt!$D$10="x",biret," ")</f>
        <v>Biret</v>
      </c>
      <c r="E690" s="69">
        <f>IF(D690=biret,biretpris," ")</f>
        <v>0</v>
      </c>
      <c r="F690" s="68" t="str">
        <f>IF(Tilmeldingsoversigt!$E$10="x",biret," ")</f>
        <v>Biret</v>
      </c>
      <c r="G690" s="69">
        <f>IF(F690=biret,biretpris," ")</f>
        <v>0</v>
      </c>
      <c r="H690" s="68" t="str">
        <f>IF(Tilmeldingsoversigt!$F$10="x",biret," ")</f>
        <v>Biret</v>
      </c>
      <c r="I690" s="70">
        <f>IF(H690=biret,biretpris," ")</f>
        <v>0</v>
      </c>
      <c r="J690" s="68" t="str">
        <f>IF(Tilmeldingsoversigt!$G$10="x",biret," ")</f>
        <v>Biret</v>
      </c>
      <c r="K690" s="69">
        <f>IF(J690=biret,biretpris," ")</f>
        <v>0</v>
      </c>
      <c r="L690" s="68" t="str">
        <f>IF(Tilmeldingsoversigt!$H$10="x",biret," ")</f>
        <v>Biret</v>
      </c>
      <c r="M690" s="70">
        <f>IF(L690=biret,biretpris," ")</f>
        <v>0</v>
      </c>
      <c r="N690" s="68" t="str">
        <f>IF(Tilmeldingsoversigt!$I$10="x",biret," ")</f>
        <v>Biret</v>
      </c>
      <c r="O690" s="70">
        <f>IF(N690=biret,biretpris," ")</f>
        <v>0</v>
      </c>
      <c r="P690" s="66"/>
    </row>
    <row r="691" spans="2:16" x14ac:dyDescent="0.25">
      <c r="B691" s="71" t="str">
        <f>IF(Tilmeldingsoversigt!$C$11="x",mellemmåltid," ")</f>
        <v xml:space="preserve"> </v>
      </c>
      <c r="C691" s="72" t="str">
        <f>IF(B691=mellemmåltid,mellemmåltidspris," ")</f>
        <v xml:space="preserve"> </v>
      </c>
      <c r="D691" s="71" t="str">
        <f>IF(Tilmeldingsoversigt!$C$11="x",mellemmåltid," ")</f>
        <v xml:space="preserve"> </v>
      </c>
      <c r="E691" s="72" t="str">
        <f>IF(D691=mellemmåltid,mellemmåltidspris," ")</f>
        <v xml:space="preserve"> </v>
      </c>
      <c r="F691" s="71" t="str">
        <f>IF(Tilmeldingsoversigt!$C$11="x",mellemmåltid," ")</f>
        <v xml:space="preserve"> </v>
      </c>
      <c r="G691" s="72" t="str">
        <f>IF(F691=mellemmåltid,mellemmåltidspris," ")</f>
        <v xml:space="preserve"> </v>
      </c>
      <c r="H691" s="71" t="str">
        <f>IF(Tilmeldingsoversigt!$C$11="x",mellemmåltid," ")</f>
        <v xml:space="preserve"> </v>
      </c>
      <c r="I691" s="73" t="str">
        <f>IF(H691=mellemmåltid,mellemmåltidspris," ")</f>
        <v xml:space="preserve"> </v>
      </c>
      <c r="J691" s="71" t="str">
        <f>IF(Tilmeldingsoversigt!$C$11="x",mellemmåltid," ")</f>
        <v xml:space="preserve"> </v>
      </c>
      <c r="K691" s="72" t="str">
        <f>IF(J691=mellemmåltid,mellemmåltidspris," ")</f>
        <v xml:space="preserve"> </v>
      </c>
      <c r="L691" s="71" t="str">
        <f>IF(Tilmeldingsoversigt!$C$11="x",mellemmåltid," ")</f>
        <v xml:space="preserve"> </v>
      </c>
      <c r="M691" s="73" t="str">
        <f>IF(L691=mellemmåltid,mellemmåltidspris," ")</f>
        <v xml:space="preserve"> </v>
      </c>
      <c r="N691" s="71" t="str">
        <f>IF(Tilmeldingsoversigt!$C$11="x",mellemmåltid," ")</f>
        <v xml:space="preserve"> </v>
      </c>
      <c r="O691" s="73" t="str">
        <f>IF(N691=mellemmåltid,mellemmåltidspris," ")</f>
        <v xml:space="preserve"> </v>
      </c>
      <c r="P691" s="66"/>
    </row>
    <row r="692" spans="2:16" x14ac:dyDescent="0.25">
      <c r="B692" s="84" t="s">
        <v>44</v>
      </c>
      <c r="C692" s="11">
        <f ca="1">SUM(C687:C691)</f>
        <v>99.311475409836063</v>
      </c>
      <c r="D692" s="74"/>
      <c r="E692" s="11">
        <f ca="1">SUM(E687:E691)</f>
        <v>99.311475409836063</v>
      </c>
      <c r="F692" s="74"/>
      <c r="G692" s="11">
        <f ca="1">SUM(G687:G691)</f>
        <v>99.311475409836063</v>
      </c>
      <c r="H692" s="74"/>
      <c r="I692" s="11">
        <f ca="1">SUM(I687:I691)</f>
        <v>99.311475409836063</v>
      </c>
      <c r="J692" s="74"/>
      <c r="K692" s="11">
        <f ca="1">SUM(K687:K691)</f>
        <v>99.311475409836063</v>
      </c>
      <c r="L692" s="74"/>
      <c r="M692" s="11">
        <f ca="1">SUM(M687:M691)</f>
        <v>99.311475409836063</v>
      </c>
      <c r="N692" s="74"/>
      <c r="O692" s="12">
        <f ca="1">SUM(O687:O691)</f>
        <v>99.311475409836063</v>
      </c>
      <c r="P692" s="75">
        <f ca="1">SUM(C692,E692,G692,I692,K692,M692,O692)</f>
        <v>695.18032786885237</v>
      </c>
    </row>
    <row r="693" spans="2:16" x14ac:dyDescent="0.2">
      <c r="B693" s="76"/>
      <c r="C693" s="77"/>
      <c r="D693" s="77"/>
      <c r="E693" s="77"/>
      <c r="F693" s="77"/>
      <c r="G693" s="77"/>
      <c r="H693" s="77"/>
      <c r="I693" s="77"/>
      <c r="J693" s="77"/>
      <c r="K693" s="77"/>
      <c r="L693" s="77"/>
      <c r="M693" s="77"/>
      <c r="N693" s="77"/>
      <c r="O693" s="77"/>
      <c r="P693" s="76"/>
    </row>
    <row r="694" spans="2:16" ht="12.75" x14ac:dyDescent="0.25">
      <c r="B694" s="78">
        <f>N685+1</f>
        <v>16</v>
      </c>
      <c r="C694" s="79"/>
      <c r="D694" s="78">
        <f>B694+1</f>
        <v>17</v>
      </c>
      <c r="E694" s="79"/>
      <c r="F694" s="78">
        <f>D694+1</f>
        <v>18</v>
      </c>
      <c r="G694" s="79"/>
      <c r="H694" s="78">
        <f>F694+1</f>
        <v>19</v>
      </c>
      <c r="I694" s="79"/>
      <c r="J694" s="78">
        <f>H694+1</f>
        <v>20</v>
      </c>
      <c r="K694" s="79"/>
      <c r="L694" s="78">
        <f>J694+1</f>
        <v>21</v>
      </c>
      <c r="M694" s="79"/>
      <c r="N694" s="78">
        <f>L694+1</f>
        <v>22</v>
      </c>
      <c r="O694" s="79"/>
      <c r="P694" s="80"/>
    </row>
    <row r="695" spans="2:16" x14ac:dyDescent="0.25">
      <c r="B695" s="64" t="s">
        <v>42</v>
      </c>
      <c r="C695" s="81" t="s">
        <v>43</v>
      </c>
      <c r="D695" s="64" t="s">
        <v>42</v>
      </c>
      <c r="E695" s="81" t="s">
        <v>43</v>
      </c>
      <c r="F695" s="64" t="s">
        <v>42</v>
      </c>
      <c r="G695" s="81" t="s">
        <v>43</v>
      </c>
      <c r="H695" s="64" t="s">
        <v>42</v>
      </c>
      <c r="I695" s="81" t="s">
        <v>43</v>
      </c>
      <c r="J695" s="64" t="s">
        <v>42</v>
      </c>
      <c r="K695" s="81" t="s">
        <v>43</v>
      </c>
      <c r="L695" s="64" t="s">
        <v>42</v>
      </c>
      <c r="M695" s="81" t="s">
        <v>43</v>
      </c>
      <c r="N695" s="64" t="s">
        <v>42</v>
      </c>
      <c r="O695" s="82" t="s">
        <v>43</v>
      </c>
      <c r="P695" s="66"/>
    </row>
    <row r="696" spans="2:16" x14ac:dyDescent="0.25">
      <c r="B696" s="136" t="str">
        <f>IF(Tilmeldingsoversigt!$C$7="x",Morgenmad," ")</f>
        <v>Morgenmad</v>
      </c>
      <c r="C696" s="67">
        <f ca="1">IF(B696=Morgenmad,Tilmeldingsoversigt!$C$15," ")</f>
        <v>16.754098360655739</v>
      </c>
      <c r="D696" s="136" t="str">
        <f>IF(Tilmeldingsoversigt!$D$7="x",Morgenmad," ")</f>
        <v>Morgenmad</v>
      </c>
      <c r="E696" s="67">
        <f ca="1">IF(D696=Morgenmad,Tilmeldingsoversigt!$C$15," ")</f>
        <v>16.754098360655739</v>
      </c>
      <c r="F696" s="136" t="str">
        <f>IF(Tilmeldingsoversigt!$E$7="x",Morgenmad," ")</f>
        <v>Morgenmad</v>
      </c>
      <c r="G696" s="67">
        <f ca="1">IF(F696=Morgenmad,Tilmeldingsoversigt!$C$15," ")</f>
        <v>16.754098360655739</v>
      </c>
      <c r="H696" s="136" t="str">
        <f>IF(Tilmeldingsoversigt!$F$7="x",Morgenmad," ")</f>
        <v>Morgenmad</v>
      </c>
      <c r="I696" s="67">
        <f ca="1">IF(H696=Morgenmad,Tilmeldingsoversigt!$C$15," ")</f>
        <v>16.754098360655739</v>
      </c>
      <c r="J696" s="136" t="str">
        <f>IF(Tilmeldingsoversigt!$G$7="x",Morgenmad," ")</f>
        <v>Morgenmad</v>
      </c>
      <c r="K696" s="67">
        <f ca="1">IF(J696=Morgenmad,Tilmeldingsoversigt!$C$15," ")</f>
        <v>16.754098360655739</v>
      </c>
      <c r="L696" s="136" t="str">
        <f>IF(Tilmeldingsoversigt!$H$7="x",Morgenmad," ")</f>
        <v>Morgenmad</v>
      </c>
      <c r="M696" s="67">
        <f ca="1">IF(L696=Morgenmad,Tilmeldingsoversigt!$C$15," ")</f>
        <v>16.754098360655739</v>
      </c>
      <c r="N696" s="136" t="str">
        <f>IF(Tilmeldingsoversigt!$I$7="x",Morgenmad," ")</f>
        <v>Morgenmad</v>
      </c>
      <c r="O696" s="83">
        <f ca="1">IF(N696=Morgenmad,Tilmeldingsoversigt!$C$15," ")</f>
        <v>16.754098360655739</v>
      </c>
      <c r="P696" s="66"/>
    </row>
    <row r="697" spans="2:16" x14ac:dyDescent="0.25">
      <c r="B697" s="68" t="str">
        <f>IF(Tilmeldingsoversigt!$C$8="x",hovedret," ")</f>
        <v>Hovedret</v>
      </c>
      <c r="C697" s="69">
        <f ca="1">IF(B697=hovedret,Tilmeldingsoversigt!$C$16," ")</f>
        <v>55.016393442622949</v>
      </c>
      <c r="D697" s="68" t="str">
        <f>IF(Tilmeldingsoversigt!$D$8="x",hovedret," ")</f>
        <v>Hovedret</v>
      </c>
      <c r="E697" s="69">
        <f ca="1">IF(D697=hovedret,Tilmeldingsoversigt!$C$16," ")</f>
        <v>55.016393442622949</v>
      </c>
      <c r="F697" s="68" t="str">
        <f>IF(Tilmeldingsoversigt!$E$8="x",hovedret," ")</f>
        <v>Hovedret</v>
      </c>
      <c r="G697" s="69">
        <f ca="1">IF(F697=hovedret,Tilmeldingsoversigt!$C$16," ")</f>
        <v>55.016393442622949</v>
      </c>
      <c r="H697" s="68" t="str">
        <f>IF(Tilmeldingsoversigt!$F$8="x",hovedret," ")</f>
        <v>Hovedret</v>
      </c>
      <c r="I697" s="69">
        <f ca="1">IF(H697=hovedret,Tilmeldingsoversigt!$C$16," ")</f>
        <v>55.016393442622949</v>
      </c>
      <c r="J697" s="68" t="str">
        <f>IF(Tilmeldingsoversigt!$G$8="x",hovedret," ")</f>
        <v>Hovedret</v>
      </c>
      <c r="K697" s="69">
        <f ca="1">IF(J697=hovedret,Tilmeldingsoversigt!$C$16," ")</f>
        <v>55.016393442622949</v>
      </c>
      <c r="L697" s="68" t="str">
        <f>IF(Tilmeldingsoversigt!$H$8="x",hovedret," ")</f>
        <v>Hovedret</v>
      </c>
      <c r="M697" s="69">
        <f ca="1">IF(L697=hovedret,Tilmeldingsoversigt!$C$16," ")</f>
        <v>55.016393442622949</v>
      </c>
      <c r="N697" s="68" t="str">
        <f>IF(Tilmeldingsoversigt!$I$8="x",hovedret," ")</f>
        <v>Hovedret</v>
      </c>
      <c r="O697" s="70">
        <f ca="1">IF(N697=hovedret,Tilmeldingsoversigt!$C$16," ")</f>
        <v>55.016393442622949</v>
      </c>
      <c r="P697" s="66"/>
    </row>
    <row r="698" spans="2:16" x14ac:dyDescent="0.25">
      <c r="B698" s="68" t="str">
        <f>IF(Tilmeldingsoversigt!$C$9="x",Aftensmad," ")</f>
        <v>Aftensmad</v>
      </c>
      <c r="C698" s="69">
        <f ca="1">IF(B698=Aftensmad,Tilmeldingsoversigt!$C$17," ")</f>
        <v>27.540983606557376</v>
      </c>
      <c r="D698" s="68" t="str">
        <f>IF(Tilmeldingsoversigt!$D$9="x",Aftensmad," ")</f>
        <v>Aftensmad</v>
      </c>
      <c r="E698" s="69">
        <f ca="1">IF(D698=Aftensmad,Tilmeldingsoversigt!$C$17," ")</f>
        <v>27.540983606557376</v>
      </c>
      <c r="F698" s="68" t="str">
        <f>IF(Tilmeldingsoversigt!$E$9="x",Aftensmad," ")</f>
        <v>Aftensmad</v>
      </c>
      <c r="G698" s="69">
        <f ca="1">IF(F698=Aftensmad,Tilmeldingsoversigt!$C$17," ")</f>
        <v>27.540983606557376</v>
      </c>
      <c r="H698" s="68" t="str">
        <f>IF(Tilmeldingsoversigt!$F$9="x",Aftensmad," ")</f>
        <v>Aftensmad</v>
      </c>
      <c r="I698" s="69">
        <f ca="1">IF(H698=Aftensmad,Tilmeldingsoversigt!$C$17," ")</f>
        <v>27.540983606557376</v>
      </c>
      <c r="J698" s="68" t="str">
        <f>IF(Tilmeldingsoversigt!$G$9="x",Aftensmad," ")</f>
        <v>Aftensmad</v>
      </c>
      <c r="K698" s="69">
        <f ca="1">IF(J698=Aftensmad,Tilmeldingsoversigt!$C$17," ")</f>
        <v>27.540983606557376</v>
      </c>
      <c r="L698" s="68" t="str">
        <f>IF(Tilmeldingsoversigt!$H$9="x",Aftensmad," ")</f>
        <v>Aftensmad</v>
      </c>
      <c r="M698" s="69">
        <f ca="1">IF(L698=Aftensmad,Tilmeldingsoversigt!$C$17," ")</f>
        <v>27.540983606557376</v>
      </c>
      <c r="N698" s="68" t="str">
        <f>IF(Tilmeldingsoversigt!$I$9="x",Aftensmad," ")</f>
        <v>Aftensmad</v>
      </c>
      <c r="O698" s="70">
        <f ca="1">IF(N698=Aftensmad,Tilmeldingsoversigt!$C$17," ")</f>
        <v>27.540983606557376</v>
      </c>
      <c r="P698" s="66"/>
    </row>
    <row r="699" spans="2:16" x14ac:dyDescent="0.25">
      <c r="B699" s="68" t="str">
        <f>IF(Tilmeldingsoversigt!$C$10="x",biret," ")</f>
        <v>Biret</v>
      </c>
      <c r="C699" s="69">
        <f>IF(B699=biret,biretpris," ")</f>
        <v>0</v>
      </c>
      <c r="D699" s="68" t="str">
        <f>IF(Tilmeldingsoversigt!$D$10="x",biret," ")</f>
        <v>Biret</v>
      </c>
      <c r="E699" s="69">
        <f>IF(D699=biret,biretpris," ")</f>
        <v>0</v>
      </c>
      <c r="F699" s="68" t="str">
        <f>IF(Tilmeldingsoversigt!$E$10="x",biret," ")</f>
        <v>Biret</v>
      </c>
      <c r="G699" s="69">
        <f>IF(F699=biret,biretpris," ")</f>
        <v>0</v>
      </c>
      <c r="H699" s="68" t="str">
        <f>IF(Tilmeldingsoversigt!$F$10="x",biret," ")</f>
        <v>Biret</v>
      </c>
      <c r="I699" s="70">
        <f>IF(H699=biret,biretpris," ")</f>
        <v>0</v>
      </c>
      <c r="J699" s="68" t="str">
        <f>IF(Tilmeldingsoversigt!$G$10="x",biret," ")</f>
        <v>Biret</v>
      </c>
      <c r="K699" s="69">
        <f>IF(J699=biret,biretpris," ")</f>
        <v>0</v>
      </c>
      <c r="L699" s="68" t="str">
        <f>IF(Tilmeldingsoversigt!$H$10="x",biret," ")</f>
        <v>Biret</v>
      </c>
      <c r="M699" s="70">
        <f>IF(L699=biret,biretpris," ")</f>
        <v>0</v>
      </c>
      <c r="N699" s="68" t="str">
        <f>IF(Tilmeldingsoversigt!$I$10="x",biret," ")</f>
        <v>Biret</v>
      </c>
      <c r="O699" s="70">
        <f>IF(N699=biret,biretpris," ")</f>
        <v>0</v>
      </c>
      <c r="P699" s="66"/>
    </row>
    <row r="700" spans="2:16" x14ac:dyDescent="0.25">
      <c r="B700" s="71" t="str">
        <f>IF(Tilmeldingsoversigt!$C$11="x",mellemmåltid," ")</f>
        <v xml:space="preserve"> </v>
      </c>
      <c r="C700" s="72" t="str">
        <f>IF(B700=mellemmåltid,mellemmåltidspris," ")</f>
        <v xml:space="preserve"> </v>
      </c>
      <c r="D700" s="71" t="str">
        <f>IF(Tilmeldingsoversigt!$C$11="x",mellemmåltid," ")</f>
        <v xml:space="preserve"> </v>
      </c>
      <c r="E700" s="72" t="str">
        <f>IF(D700=mellemmåltid,mellemmåltidspris," ")</f>
        <v xml:space="preserve"> </v>
      </c>
      <c r="F700" s="71" t="str">
        <f>IF(Tilmeldingsoversigt!$C$11="x",mellemmåltid," ")</f>
        <v xml:space="preserve"> </v>
      </c>
      <c r="G700" s="72" t="str">
        <f>IF(F700=mellemmåltid,mellemmåltidspris," ")</f>
        <v xml:space="preserve"> </v>
      </c>
      <c r="H700" s="71" t="str">
        <f>IF(Tilmeldingsoversigt!$C$11="x",mellemmåltid," ")</f>
        <v xml:space="preserve"> </v>
      </c>
      <c r="I700" s="73" t="str">
        <f>IF(H700=mellemmåltid,mellemmåltidspris," ")</f>
        <v xml:space="preserve"> </v>
      </c>
      <c r="J700" s="71" t="str">
        <f>IF(Tilmeldingsoversigt!$C$11="x",mellemmåltid," ")</f>
        <v xml:space="preserve"> </v>
      </c>
      <c r="K700" s="72" t="str">
        <f>IF(J700=mellemmåltid,mellemmåltidspris," ")</f>
        <v xml:space="preserve"> </v>
      </c>
      <c r="L700" s="71" t="str">
        <f>IF(Tilmeldingsoversigt!$C$11="x",mellemmåltid," ")</f>
        <v xml:space="preserve"> </v>
      </c>
      <c r="M700" s="73" t="str">
        <f>IF(L700=mellemmåltid,mellemmåltidspris," ")</f>
        <v xml:space="preserve"> </v>
      </c>
      <c r="N700" s="71" t="str">
        <f>IF(Tilmeldingsoversigt!$C$11="x",mellemmåltid," ")</f>
        <v xml:space="preserve"> </v>
      </c>
      <c r="O700" s="73" t="str">
        <f>IF(N700=mellemmåltid,mellemmåltidspris," ")</f>
        <v xml:space="preserve"> </v>
      </c>
      <c r="P700" s="66"/>
    </row>
    <row r="701" spans="2:16" x14ac:dyDescent="0.25">
      <c r="B701" s="74" t="s">
        <v>44</v>
      </c>
      <c r="C701" s="11">
        <f ca="1">SUM(C696:C700)</f>
        <v>99.311475409836063</v>
      </c>
      <c r="D701" s="74"/>
      <c r="E701" s="11">
        <f ca="1">SUM(E696:E700)</f>
        <v>99.311475409836063</v>
      </c>
      <c r="F701" s="74"/>
      <c r="G701" s="11">
        <f ca="1">SUM(G696:G700)</f>
        <v>99.311475409836063</v>
      </c>
      <c r="H701" s="74"/>
      <c r="I701" s="11">
        <f ca="1">SUM(I696:I700)</f>
        <v>99.311475409836063</v>
      </c>
      <c r="J701" s="74"/>
      <c r="K701" s="11">
        <f ca="1">SUM(K696:K700)</f>
        <v>99.311475409836063</v>
      </c>
      <c r="L701" s="74"/>
      <c r="M701" s="11">
        <f ca="1">SUM(M696:M700)</f>
        <v>99.311475409836063</v>
      </c>
      <c r="N701" s="74"/>
      <c r="O701" s="12">
        <f ca="1">SUM(O696:O700)</f>
        <v>99.311475409836063</v>
      </c>
      <c r="P701" s="75">
        <f ca="1">SUM(C701,E701,G701,I701,K701,M701,O701)</f>
        <v>695.18032786885237</v>
      </c>
    </row>
    <row r="702" spans="2:16" x14ac:dyDescent="0.2">
      <c r="B702" s="76"/>
      <c r="C702" s="77"/>
      <c r="D702" s="77"/>
      <c r="E702" s="77"/>
      <c r="F702" s="77"/>
      <c r="G702" s="77"/>
      <c r="H702" s="77"/>
      <c r="I702" s="77"/>
      <c r="J702" s="77"/>
      <c r="K702" s="77"/>
      <c r="L702" s="77"/>
      <c r="M702" s="77"/>
      <c r="N702" s="77"/>
      <c r="O702" s="77"/>
      <c r="P702" s="76"/>
    </row>
    <row r="703" spans="2:16" ht="12.75" x14ac:dyDescent="0.25">
      <c r="B703" s="78">
        <f>DAY(IF(DAY(DecSøn1)=1,DecSøn1+22,DecSøn1+29))</f>
        <v>23</v>
      </c>
      <c r="C703" s="79"/>
      <c r="D703" s="78">
        <f>DAY(IF(DAY(DecSøn1)=1,DecSøn1+23,DecSøn1+30))</f>
        <v>24</v>
      </c>
      <c r="E703" s="79"/>
      <c r="F703" s="78">
        <f>DAY(IF(DAY(DecSøn1)=1,DecSøn1+24,DecSøn1+31))</f>
        <v>25</v>
      </c>
      <c r="G703" s="79"/>
      <c r="H703" s="78">
        <f>DAY(IF(DAY(DecSøn1)=1,DecSøn1+25,DecSøn1+32))</f>
        <v>26</v>
      </c>
      <c r="I703" s="79"/>
      <c r="J703" s="78">
        <f>DAY(IF(DAY(DecSøn1)=1,DecSøn1+26,DecSøn1+33))</f>
        <v>27</v>
      </c>
      <c r="K703" s="79"/>
      <c r="L703" s="78">
        <f>DAY(IF(DAY(DecSøn1)=1,DecSøn1+27,DecSøn1+34))</f>
        <v>28</v>
      </c>
      <c r="M703" s="79"/>
      <c r="N703" s="78">
        <f>DAY(IF(DAY(DecSøn1)=1,DecSøn1+28,DecSøn1+35))</f>
        <v>29</v>
      </c>
      <c r="O703" s="79"/>
      <c r="P703" s="85"/>
    </row>
    <row r="704" spans="2:16" x14ac:dyDescent="0.25">
      <c r="B704" s="64" t="s">
        <v>42</v>
      </c>
      <c r="C704" s="81" t="s">
        <v>43</v>
      </c>
      <c r="D704" s="64" t="s">
        <v>42</v>
      </c>
      <c r="E704" s="81" t="s">
        <v>43</v>
      </c>
      <c r="F704" s="64" t="s">
        <v>42</v>
      </c>
      <c r="G704" s="81" t="s">
        <v>43</v>
      </c>
      <c r="H704" s="64" t="s">
        <v>42</v>
      </c>
      <c r="I704" s="81" t="s">
        <v>43</v>
      </c>
      <c r="J704" s="64" t="s">
        <v>42</v>
      </c>
      <c r="K704" s="81" t="s">
        <v>43</v>
      </c>
      <c r="L704" s="64" t="s">
        <v>42</v>
      </c>
      <c r="M704" s="81" t="s">
        <v>43</v>
      </c>
      <c r="N704" s="64" t="s">
        <v>42</v>
      </c>
      <c r="O704" s="82" t="s">
        <v>43</v>
      </c>
      <c r="P704" s="66"/>
    </row>
    <row r="705" spans="2:16" x14ac:dyDescent="0.25">
      <c r="B705" s="136" t="str">
        <f>IF(Tilmeldingsoversigt!$C$7="x",Morgenmad," ")</f>
        <v>Morgenmad</v>
      </c>
      <c r="C705" s="67">
        <f ca="1">IF(B705=Morgenmad,Tilmeldingsoversigt!$C$15," ")</f>
        <v>16.754098360655739</v>
      </c>
      <c r="D705" s="136" t="str">
        <f>IF(Tilmeldingsoversigt!$D$7="x",Morgenmad," ")</f>
        <v>Morgenmad</v>
      </c>
      <c r="E705" s="67">
        <f ca="1">IF(D705=Morgenmad,Tilmeldingsoversigt!$C$15," ")</f>
        <v>16.754098360655739</v>
      </c>
      <c r="F705" s="136" t="str">
        <f>IF(Tilmeldingsoversigt!$E$7="x",Morgenmad," ")</f>
        <v>Morgenmad</v>
      </c>
      <c r="G705" s="67">
        <f ca="1">IF(F705=Morgenmad,Tilmeldingsoversigt!$C$15," ")</f>
        <v>16.754098360655739</v>
      </c>
      <c r="H705" s="136" t="str">
        <f>IF(Tilmeldingsoversigt!$F$7="x",Morgenmad," ")</f>
        <v>Morgenmad</v>
      </c>
      <c r="I705" s="67">
        <f ca="1">IF(H705=Morgenmad,Tilmeldingsoversigt!$C$15," ")</f>
        <v>16.754098360655739</v>
      </c>
      <c r="J705" s="136" t="str">
        <f>IF(Tilmeldingsoversigt!$G$7="x",Morgenmad," ")</f>
        <v>Morgenmad</v>
      </c>
      <c r="K705" s="67">
        <f ca="1">IF(J705=Morgenmad,Tilmeldingsoversigt!$C$15," ")</f>
        <v>16.754098360655739</v>
      </c>
      <c r="L705" s="136" t="str">
        <f>IF(Tilmeldingsoversigt!$H$7="x",Morgenmad," ")</f>
        <v>Morgenmad</v>
      </c>
      <c r="M705" s="67">
        <f ca="1">IF(L705=Morgenmad,Tilmeldingsoversigt!$C$15," ")</f>
        <v>16.754098360655739</v>
      </c>
      <c r="N705" s="139"/>
      <c r="O705" s="86"/>
      <c r="P705" s="66"/>
    </row>
    <row r="706" spans="2:16" x14ac:dyDescent="0.25">
      <c r="B706" s="68" t="str">
        <f>IF(Tilmeldingsoversigt!$C$8="x",hovedret," ")</f>
        <v>Hovedret</v>
      </c>
      <c r="C706" s="69">
        <f ca="1">IF(B706=hovedret,Tilmeldingsoversigt!$C$16," ")</f>
        <v>55.016393442622949</v>
      </c>
      <c r="D706" s="68" t="str">
        <f>IF(Tilmeldingsoversigt!$D$8="x",hovedret," ")</f>
        <v>Hovedret</v>
      </c>
      <c r="E706" s="69">
        <f ca="1">IF(D706=hovedret,Tilmeldingsoversigt!$C$16," ")</f>
        <v>55.016393442622949</v>
      </c>
      <c r="F706" s="68" t="str">
        <f>IF(Tilmeldingsoversigt!$E$8="x",hovedret," ")</f>
        <v>Hovedret</v>
      </c>
      <c r="G706" s="69">
        <f ca="1">IF(F706=hovedret,Tilmeldingsoversigt!$C$16," ")</f>
        <v>55.016393442622949</v>
      </c>
      <c r="H706" s="68" t="str">
        <f>IF(Tilmeldingsoversigt!$F$8="x",hovedret," ")</f>
        <v>Hovedret</v>
      </c>
      <c r="I706" s="69">
        <f ca="1">IF(H706=hovedret,Tilmeldingsoversigt!$C$16," ")</f>
        <v>55.016393442622949</v>
      </c>
      <c r="J706" s="68" t="str">
        <f>IF(Tilmeldingsoversigt!$G$8="x",hovedret," ")</f>
        <v>Hovedret</v>
      </c>
      <c r="K706" s="69">
        <f ca="1">IF(J706=hovedret,Tilmeldingsoversigt!$C$16," ")</f>
        <v>55.016393442622949</v>
      </c>
      <c r="L706" s="68" t="str">
        <f>IF(Tilmeldingsoversigt!$H$8="x",hovedret," ")</f>
        <v>Hovedret</v>
      </c>
      <c r="M706" s="69">
        <f ca="1">IF(L706=hovedret,Tilmeldingsoversigt!$C$16," ")</f>
        <v>55.016393442622949</v>
      </c>
      <c r="N706" s="87"/>
      <c r="O706" s="88"/>
      <c r="P706" s="66"/>
    </row>
    <row r="707" spans="2:16" x14ac:dyDescent="0.25">
      <c r="B707" s="68" t="str">
        <f>IF(Tilmeldingsoversigt!$C$9="x",Aftensmad," ")</f>
        <v>Aftensmad</v>
      </c>
      <c r="C707" s="69">
        <f ca="1">IF(B707=Aftensmad,Tilmeldingsoversigt!$C$17," ")</f>
        <v>27.540983606557376</v>
      </c>
      <c r="D707" s="68" t="str">
        <f>IF(Tilmeldingsoversigt!$D$9="x",Aftensmad," ")</f>
        <v>Aftensmad</v>
      </c>
      <c r="E707" s="69">
        <f ca="1">IF(D707=Aftensmad,Tilmeldingsoversigt!$C$17," ")</f>
        <v>27.540983606557376</v>
      </c>
      <c r="F707" s="68" t="str">
        <f>IF(Tilmeldingsoversigt!$E$9="x",Aftensmad," ")</f>
        <v>Aftensmad</v>
      </c>
      <c r="G707" s="69">
        <f ca="1">IF(F707=Aftensmad,Tilmeldingsoversigt!$C$17," ")</f>
        <v>27.540983606557376</v>
      </c>
      <c r="H707" s="68" t="str">
        <f>IF(Tilmeldingsoversigt!$F$9="x",Aftensmad," ")</f>
        <v>Aftensmad</v>
      </c>
      <c r="I707" s="69">
        <f ca="1">IF(H707=Aftensmad,Tilmeldingsoversigt!$C$17," ")</f>
        <v>27.540983606557376</v>
      </c>
      <c r="J707" s="68" t="str">
        <f>IF(Tilmeldingsoversigt!$G$9="x",Aftensmad," ")</f>
        <v>Aftensmad</v>
      </c>
      <c r="K707" s="69">
        <f ca="1">IF(J707=Aftensmad,Tilmeldingsoversigt!$C$17," ")</f>
        <v>27.540983606557376</v>
      </c>
      <c r="L707" s="68" t="str">
        <f>IF(Tilmeldingsoversigt!$H$9="x",Aftensmad," ")</f>
        <v>Aftensmad</v>
      </c>
      <c r="M707" s="69">
        <f ca="1">IF(L707=Aftensmad,Tilmeldingsoversigt!$C$17," ")</f>
        <v>27.540983606557376</v>
      </c>
      <c r="N707" s="87"/>
      <c r="O707" s="88"/>
      <c r="P707" s="66"/>
    </row>
    <row r="708" spans="2:16" x14ac:dyDescent="0.25">
      <c r="B708" s="68" t="str">
        <f>IF(Tilmeldingsoversigt!$C$10="x",biret," ")</f>
        <v>Biret</v>
      </c>
      <c r="C708" s="69">
        <f>IF(B708=biret,biretpris," ")</f>
        <v>0</v>
      </c>
      <c r="D708" s="68" t="str">
        <f>IF(Tilmeldingsoversigt!$D$10="x",biret," ")</f>
        <v>Biret</v>
      </c>
      <c r="E708" s="69">
        <f>IF(D708=biret,biretpris," ")</f>
        <v>0</v>
      </c>
      <c r="F708" s="68" t="str">
        <f>IF(Tilmeldingsoversigt!$E$10="x",biret," ")</f>
        <v>Biret</v>
      </c>
      <c r="G708" s="69">
        <f>IF(F708=biret,biretpris," ")</f>
        <v>0</v>
      </c>
      <c r="H708" s="68" t="str">
        <f>IF(Tilmeldingsoversigt!$F$10="x",biret," ")</f>
        <v>Biret</v>
      </c>
      <c r="I708" s="70">
        <f>IF(H708=biret,biretpris," ")</f>
        <v>0</v>
      </c>
      <c r="J708" s="68" t="str">
        <f>IF(Tilmeldingsoversigt!$G$10="x",biret," ")</f>
        <v>Biret</v>
      </c>
      <c r="K708" s="69">
        <f>IF(J708=biret,biretpris," ")</f>
        <v>0</v>
      </c>
      <c r="L708" s="68" t="str">
        <f>IF(Tilmeldingsoversigt!$H$10="x",biret," ")</f>
        <v>Biret</v>
      </c>
      <c r="M708" s="70">
        <f>IF(L708=biret,biretpris," ")</f>
        <v>0</v>
      </c>
      <c r="N708" s="68"/>
      <c r="O708" s="70"/>
      <c r="P708" s="66"/>
    </row>
    <row r="709" spans="2:16" x14ac:dyDescent="0.25">
      <c r="B709" s="71" t="str">
        <f>IF(Tilmeldingsoversigt!$C$11="x",mellemmåltid," ")</f>
        <v xml:space="preserve"> </v>
      </c>
      <c r="C709" s="72" t="str">
        <f>IF(B709=mellemmåltid,mellemmåltidspris," ")</f>
        <v xml:space="preserve"> </v>
      </c>
      <c r="D709" s="71" t="str">
        <f>IF(Tilmeldingsoversigt!$C$11="x",mellemmåltid," ")</f>
        <v xml:space="preserve"> </v>
      </c>
      <c r="E709" s="72" t="str">
        <f>IF(D709=mellemmåltid,mellemmåltidspris," ")</f>
        <v xml:space="preserve"> </v>
      </c>
      <c r="F709" s="71" t="str">
        <f>IF(Tilmeldingsoversigt!$C$11="x",mellemmåltid," ")</f>
        <v xml:space="preserve"> </v>
      </c>
      <c r="G709" s="72" t="str">
        <f>IF(F709=mellemmåltid,mellemmåltidspris," ")</f>
        <v xml:space="preserve"> </v>
      </c>
      <c r="H709" s="71" t="str">
        <f>IF(Tilmeldingsoversigt!$C$11="x",mellemmåltid," ")</f>
        <v xml:space="preserve"> </v>
      </c>
      <c r="I709" s="73" t="str">
        <f>IF(H709=mellemmåltid,mellemmåltidspris," ")</f>
        <v xml:space="preserve"> </v>
      </c>
      <c r="J709" s="71" t="str">
        <f>IF(Tilmeldingsoversigt!$C$11="x",mellemmåltid," ")</f>
        <v xml:space="preserve"> </v>
      </c>
      <c r="K709" s="72" t="str">
        <f>IF(J709=mellemmåltid,mellemmåltidspris," ")</f>
        <v xml:space="preserve"> </v>
      </c>
      <c r="L709" s="71" t="str">
        <f>IF(Tilmeldingsoversigt!$C$11="x",mellemmåltid," ")</f>
        <v xml:space="preserve"> </v>
      </c>
      <c r="M709" s="73" t="str">
        <f>IF(L709=mellemmåltid,mellemmåltidspris," ")</f>
        <v xml:space="preserve"> </v>
      </c>
      <c r="N709" s="71"/>
      <c r="O709" s="73"/>
      <c r="P709" s="66"/>
    </row>
    <row r="710" spans="2:16" x14ac:dyDescent="0.25">
      <c r="B710" s="74" t="s">
        <v>44</v>
      </c>
      <c r="C710" s="11">
        <f ca="1">SUM(C705:C709)</f>
        <v>99.311475409836063</v>
      </c>
      <c r="D710" s="74"/>
      <c r="E710" s="11">
        <f ca="1">SUM(E705:E709)</f>
        <v>99.311475409836063</v>
      </c>
      <c r="F710" s="74"/>
      <c r="G710" s="11">
        <f ca="1">SUM(G705:G709)</f>
        <v>99.311475409836063</v>
      </c>
      <c r="H710" s="74"/>
      <c r="I710" s="11">
        <f ca="1">SUM(I705:I709)</f>
        <v>99.311475409836063</v>
      </c>
      <c r="J710" s="74"/>
      <c r="K710" s="11">
        <f ca="1">SUM(K705:K709)</f>
        <v>99.311475409836063</v>
      </c>
      <c r="L710" s="74"/>
      <c r="M710" s="11">
        <f ca="1">SUM(M705:M709)</f>
        <v>99.311475409836063</v>
      </c>
      <c r="N710" s="74"/>
      <c r="O710" s="12">
        <f>SUM(O705:O709)</f>
        <v>0</v>
      </c>
      <c r="P710" s="75">
        <f ca="1">SUMIF(B703:N703,"&gt;="&amp;15,C710:O710)</f>
        <v>595.86885245901635</v>
      </c>
    </row>
    <row r="711" spans="2:16" x14ac:dyDescent="0.2">
      <c r="B711" s="76"/>
      <c r="C711" s="77"/>
      <c r="D711" s="77"/>
      <c r="E711" s="77"/>
      <c r="F711" s="77"/>
      <c r="G711" s="77"/>
      <c r="H711" s="77"/>
      <c r="I711" s="77"/>
      <c r="J711" s="77"/>
      <c r="K711" s="77"/>
      <c r="L711" s="77"/>
      <c r="M711" s="77"/>
      <c r="N711" s="77"/>
      <c r="O711" s="77"/>
      <c r="P711" s="76"/>
    </row>
    <row r="712" spans="2:16" ht="12.75" hidden="1" x14ac:dyDescent="0.25">
      <c r="B712" s="78">
        <f>DAY(IF(DAY(DecSøn1)=1,DecSøn1+29,DecSøn1+36))</f>
        <v>30</v>
      </c>
      <c r="C712" s="91"/>
      <c r="D712" s="78">
        <f>DAY(IF(DAY(DecSøn1)=1,DecSøn1+30,DecSøn1+37))</f>
        <v>31</v>
      </c>
      <c r="E712" s="79"/>
      <c r="F712" s="92">
        <f>DAY(IF(DAY(DecSøn1)=1,DecSøn1+31,DecSøn1+38))</f>
        <v>1</v>
      </c>
      <c r="G712" s="79"/>
      <c r="H712" s="78">
        <f>DAY(IF(DAY(DecSøn1)=1,DecSøn1+32,DecSøn1+39))</f>
        <v>2</v>
      </c>
      <c r="I712" s="79"/>
      <c r="J712" s="78">
        <f>DAY(IF(DAY(DecSøn1)=1,DecSøn1+33,DecSøn1+40))</f>
        <v>3</v>
      </c>
      <c r="K712" s="79"/>
      <c r="L712" s="78">
        <f>DAY(IF(DAY(DecSøn1)=1,DecSøn1+34,DecSøn1+41))</f>
        <v>4</v>
      </c>
      <c r="M712" s="79"/>
      <c r="N712" s="78">
        <f>DAY(IF(DAY(DecSøn1)=1,DecSøn1+35,DecSøn1+42))</f>
        <v>5</v>
      </c>
      <c r="O712" s="79"/>
      <c r="P712" s="85"/>
    </row>
    <row r="713" spans="2:16" hidden="1" x14ac:dyDescent="0.25">
      <c r="B713" s="64" t="s">
        <v>42</v>
      </c>
      <c r="C713" s="81" t="s">
        <v>43</v>
      </c>
      <c r="D713" s="64" t="s">
        <v>42</v>
      </c>
      <c r="E713" s="81" t="s">
        <v>43</v>
      </c>
      <c r="F713" s="64" t="s">
        <v>42</v>
      </c>
      <c r="G713" s="81" t="s">
        <v>43</v>
      </c>
      <c r="H713" s="64" t="s">
        <v>42</v>
      </c>
      <c r="I713" s="81" t="s">
        <v>43</v>
      </c>
      <c r="J713" s="64" t="s">
        <v>42</v>
      </c>
      <c r="K713" s="81" t="s">
        <v>43</v>
      </c>
      <c r="L713" s="64" t="s">
        <v>42</v>
      </c>
      <c r="M713" s="81" t="s">
        <v>43</v>
      </c>
      <c r="N713" s="64" t="s">
        <v>42</v>
      </c>
      <c r="O713" s="82" t="s">
        <v>43</v>
      </c>
      <c r="P713" s="66"/>
    </row>
    <row r="714" spans="2:16" hidden="1" x14ac:dyDescent="0.25">
      <c r="B714" s="136"/>
      <c r="C714" s="67"/>
      <c r="D714" s="136"/>
      <c r="E714" s="67"/>
      <c r="F714" s="136"/>
      <c r="G714" s="67"/>
      <c r="H714" s="136"/>
      <c r="I714" s="67"/>
      <c r="J714" s="136"/>
      <c r="K714" s="67"/>
      <c r="L714" s="136"/>
      <c r="M714" s="67"/>
      <c r="N714" s="136"/>
      <c r="O714" s="83" t="str">
        <f>IF(N714=Morgenmad,Tilmeldingsoversigt!$C$15," ")</f>
        <v xml:space="preserve"> </v>
      </c>
      <c r="P714" s="66"/>
    </row>
    <row r="715" spans="2:16" hidden="1" x14ac:dyDescent="0.25">
      <c r="B715" s="68"/>
      <c r="C715" s="69"/>
      <c r="D715" s="68"/>
      <c r="E715" s="69"/>
      <c r="F715" s="68"/>
      <c r="G715" s="69"/>
      <c r="H715" s="68"/>
      <c r="I715" s="69"/>
      <c r="J715" s="68"/>
      <c r="K715" s="69"/>
      <c r="L715" s="68"/>
      <c r="M715" s="69"/>
      <c r="N715" s="68"/>
      <c r="O715" s="70" t="str">
        <f>IF(N715=hovedret,Tilmeldingsoversigt!$C$16," ")</f>
        <v xml:space="preserve"> </v>
      </c>
      <c r="P715" s="66"/>
    </row>
    <row r="716" spans="2:16" hidden="1" x14ac:dyDescent="0.25">
      <c r="B716" s="68"/>
      <c r="C716" s="69"/>
      <c r="D716" s="68"/>
      <c r="E716" s="69"/>
      <c r="F716" s="68"/>
      <c r="G716" s="69"/>
      <c r="H716" s="68"/>
      <c r="I716" s="69"/>
      <c r="J716" s="68"/>
      <c r="K716" s="69"/>
      <c r="L716" s="68"/>
      <c r="M716" s="69"/>
      <c r="N716" s="68"/>
      <c r="O716" s="70" t="str">
        <f>IF(N716=Aftensmad,Tilmeldingsoversigt!$C$17," ")</f>
        <v xml:space="preserve"> </v>
      </c>
      <c r="P716" s="66"/>
    </row>
    <row r="717" spans="2:16" hidden="1" x14ac:dyDescent="0.25">
      <c r="B717" s="68"/>
      <c r="C717" s="69"/>
      <c r="D717" s="68"/>
      <c r="E717" s="69"/>
      <c r="F717" s="68"/>
      <c r="G717" s="69"/>
      <c r="H717" s="68"/>
      <c r="I717" s="69"/>
      <c r="J717" s="68"/>
      <c r="K717" s="69"/>
      <c r="L717" s="68"/>
      <c r="M717" s="69"/>
      <c r="N717" s="68"/>
      <c r="O717" s="70"/>
      <c r="P717" s="66"/>
    </row>
    <row r="718" spans="2:16" hidden="1" x14ac:dyDescent="0.25">
      <c r="B718" s="71"/>
      <c r="C718" s="72"/>
      <c r="D718" s="71"/>
      <c r="E718" s="72"/>
      <c r="F718" s="71"/>
      <c r="G718" s="72"/>
      <c r="H718" s="71"/>
      <c r="I718" s="72"/>
      <c r="J718" s="71"/>
      <c r="K718" s="72"/>
      <c r="L718" s="71"/>
      <c r="M718" s="72"/>
      <c r="N718" s="71"/>
      <c r="O718" s="73"/>
      <c r="P718" s="66"/>
    </row>
    <row r="719" spans="2:16" hidden="1" x14ac:dyDescent="0.25">
      <c r="B719" s="74" t="s">
        <v>44</v>
      </c>
      <c r="C719" s="11">
        <f>SUM(C714:C718)</f>
        <v>0</v>
      </c>
      <c r="D719" s="74"/>
      <c r="E719" s="11">
        <f>SUM(E714:E718)</f>
        <v>0</v>
      </c>
      <c r="F719" s="74"/>
      <c r="G719" s="11">
        <f>SUM(G714:G718)</f>
        <v>0</v>
      </c>
      <c r="H719" s="74"/>
      <c r="I719" s="11">
        <f>SUM(I714:I718)</f>
        <v>0</v>
      </c>
      <c r="J719" s="74"/>
      <c r="K719" s="11">
        <f>SUM(K714:K718)</f>
        <v>0</v>
      </c>
      <c r="L719" s="74"/>
      <c r="M719" s="11">
        <f>SUM(M714:M718)</f>
        <v>0</v>
      </c>
      <c r="N719" s="74"/>
      <c r="O719" s="12">
        <f>SUM(O714:O718)</f>
        <v>0</v>
      </c>
      <c r="P719" s="75">
        <f>SUMIF(B712:N712,"&gt;="&amp;15,C719:O719)</f>
        <v>0</v>
      </c>
    </row>
  </sheetData>
  <mergeCells count="260">
    <mergeCell ref="L665:M665"/>
    <mergeCell ref="N665:O665"/>
    <mergeCell ref="B666:C666"/>
    <mergeCell ref="D666:E666"/>
    <mergeCell ref="F666:G666"/>
    <mergeCell ref="H666:I666"/>
    <mergeCell ref="B661:E662"/>
    <mergeCell ref="L661:M661"/>
    <mergeCell ref="N661:O661"/>
    <mergeCell ref="L662:M662"/>
    <mergeCell ref="N662:O662"/>
    <mergeCell ref="J665:K665"/>
    <mergeCell ref="H665:I665"/>
    <mergeCell ref="F665:G665"/>
    <mergeCell ref="D665:E665"/>
    <mergeCell ref="B665:C665"/>
    <mergeCell ref="L663:M663"/>
    <mergeCell ref="B606:C606"/>
    <mergeCell ref="H606:I606"/>
    <mergeCell ref="J606:K606"/>
    <mergeCell ref="L606:M606"/>
    <mergeCell ref="N606:O606"/>
    <mergeCell ref="J605:K605"/>
    <mergeCell ref="B601:E602"/>
    <mergeCell ref="L601:M601"/>
    <mergeCell ref="N601:O601"/>
    <mergeCell ref="L602:M602"/>
    <mergeCell ref="N602:O602"/>
    <mergeCell ref="H605:I605"/>
    <mergeCell ref="F605:G605"/>
    <mergeCell ref="D605:E605"/>
    <mergeCell ref="B605:C605"/>
    <mergeCell ref="B546:C546"/>
    <mergeCell ref="D546:E546"/>
    <mergeCell ref="F546:G546"/>
    <mergeCell ref="H546:I546"/>
    <mergeCell ref="J546:K546"/>
    <mergeCell ref="L546:M546"/>
    <mergeCell ref="N546:O546"/>
    <mergeCell ref="L605:M605"/>
    <mergeCell ref="N605:O605"/>
    <mergeCell ref="B541:E542"/>
    <mergeCell ref="L541:M541"/>
    <mergeCell ref="N541:O541"/>
    <mergeCell ref="L542:M542"/>
    <mergeCell ref="N542:O542"/>
    <mergeCell ref="B545:C545"/>
    <mergeCell ref="D545:E545"/>
    <mergeCell ref="F545:G545"/>
    <mergeCell ref="H545:I545"/>
    <mergeCell ref="J545:K545"/>
    <mergeCell ref="L545:M545"/>
    <mergeCell ref="N545:O545"/>
    <mergeCell ref="B485:C485"/>
    <mergeCell ref="D485:E485"/>
    <mergeCell ref="F485:G485"/>
    <mergeCell ref="H485:I485"/>
    <mergeCell ref="J485:K485"/>
    <mergeCell ref="L485:M485"/>
    <mergeCell ref="N485:O485"/>
    <mergeCell ref="B486:C486"/>
    <mergeCell ref="D486:E486"/>
    <mergeCell ref="F486:G486"/>
    <mergeCell ref="H486:I486"/>
    <mergeCell ref="J486:K486"/>
    <mergeCell ref="L486:M486"/>
    <mergeCell ref="N486:O486"/>
    <mergeCell ref="B426:C426"/>
    <mergeCell ref="D426:E426"/>
    <mergeCell ref="F426:G426"/>
    <mergeCell ref="H426:I426"/>
    <mergeCell ref="J426:K426"/>
    <mergeCell ref="L426:M426"/>
    <mergeCell ref="N426:O426"/>
    <mergeCell ref="B481:E482"/>
    <mergeCell ref="L481:M481"/>
    <mergeCell ref="N481:O481"/>
    <mergeCell ref="L482:M482"/>
    <mergeCell ref="N482:O482"/>
    <mergeCell ref="B421:E422"/>
    <mergeCell ref="L421:M421"/>
    <mergeCell ref="N421:O421"/>
    <mergeCell ref="L422:M422"/>
    <mergeCell ref="N422:O422"/>
    <mergeCell ref="B425:C425"/>
    <mergeCell ref="D425:E425"/>
    <mergeCell ref="F425:G425"/>
    <mergeCell ref="H425:I425"/>
    <mergeCell ref="J425:K425"/>
    <mergeCell ref="L425:M425"/>
    <mergeCell ref="N425:O425"/>
    <mergeCell ref="N424:O424"/>
    <mergeCell ref="B365:C365"/>
    <mergeCell ref="D365:E365"/>
    <mergeCell ref="F365:G365"/>
    <mergeCell ref="H365:I365"/>
    <mergeCell ref="J365:K365"/>
    <mergeCell ref="L365:M365"/>
    <mergeCell ref="N365:O365"/>
    <mergeCell ref="B366:C366"/>
    <mergeCell ref="D366:E366"/>
    <mergeCell ref="F366:G366"/>
    <mergeCell ref="H366:I366"/>
    <mergeCell ref="J366:K366"/>
    <mergeCell ref="L366:M366"/>
    <mergeCell ref="N366:O366"/>
    <mergeCell ref="B306:C306"/>
    <mergeCell ref="D306:E306"/>
    <mergeCell ref="F306:G306"/>
    <mergeCell ref="H306:I306"/>
    <mergeCell ref="J306:K306"/>
    <mergeCell ref="L306:M306"/>
    <mergeCell ref="N306:O306"/>
    <mergeCell ref="B361:E362"/>
    <mergeCell ref="L361:M361"/>
    <mergeCell ref="N361:O361"/>
    <mergeCell ref="L362:M362"/>
    <mergeCell ref="N362:O362"/>
    <mergeCell ref="B301:E302"/>
    <mergeCell ref="L301:M301"/>
    <mergeCell ref="N301:O301"/>
    <mergeCell ref="L302:M302"/>
    <mergeCell ref="N302:O302"/>
    <mergeCell ref="B305:C305"/>
    <mergeCell ref="D305:E305"/>
    <mergeCell ref="F305:G305"/>
    <mergeCell ref="H305:I305"/>
    <mergeCell ref="J305:K305"/>
    <mergeCell ref="L305:M305"/>
    <mergeCell ref="N305:O305"/>
    <mergeCell ref="B245:C245"/>
    <mergeCell ref="D245:E245"/>
    <mergeCell ref="F245:G245"/>
    <mergeCell ref="H245:I245"/>
    <mergeCell ref="J245:K245"/>
    <mergeCell ref="L245:M245"/>
    <mergeCell ref="N245:O245"/>
    <mergeCell ref="B246:C246"/>
    <mergeCell ref="D246:E246"/>
    <mergeCell ref="F246:G246"/>
    <mergeCell ref="H246:I246"/>
    <mergeCell ref="J246:K246"/>
    <mergeCell ref="L246:M246"/>
    <mergeCell ref="N246:O246"/>
    <mergeCell ref="B186:C186"/>
    <mergeCell ref="D186:E186"/>
    <mergeCell ref="F186:G186"/>
    <mergeCell ref="H186:I186"/>
    <mergeCell ref="J186:K186"/>
    <mergeCell ref="L186:M186"/>
    <mergeCell ref="N186:O186"/>
    <mergeCell ref="B241:E242"/>
    <mergeCell ref="L241:M241"/>
    <mergeCell ref="N241:O241"/>
    <mergeCell ref="L242:M242"/>
    <mergeCell ref="N242:O242"/>
    <mergeCell ref="B181:E182"/>
    <mergeCell ref="L181:M181"/>
    <mergeCell ref="N181:O181"/>
    <mergeCell ref="L182:M182"/>
    <mergeCell ref="N182:O182"/>
    <mergeCell ref="B185:C185"/>
    <mergeCell ref="D185:E185"/>
    <mergeCell ref="F185:G185"/>
    <mergeCell ref="H185:I185"/>
    <mergeCell ref="J185:K185"/>
    <mergeCell ref="L185:M185"/>
    <mergeCell ref="N185:O185"/>
    <mergeCell ref="B125:C125"/>
    <mergeCell ref="D125:E125"/>
    <mergeCell ref="F125:G125"/>
    <mergeCell ref="H125:I125"/>
    <mergeCell ref="J125:K125"/>
    <mergeCell ref="L125:M125"/>
    <mergeCell ref="N125:O125"/>
    <mergeCell ref="B126:C126"/>
    <mergeCell ref="D126:E126"/>
    <mergeCell ref="F126:G126"/>
    <mergeCell ref="H126:I126"/>
    <mergeCell ref="J126:K126"/>
    <mergeCell ref="L126:M126"/>
    <mergeCell ref="N126:O126"/>
    <mergeCell ref="B66:C66"/>
    <mergeCell ref="D66:E66"/>
    <mergeCell ref="F66:G66"/>
    <mergeCell ref="H66:I66"/>
    <mergeCell ref="J66:K66"/>
    <mergeCell ref="L66:M66"/>
    <mergeCell ref="N66:O66"/>
    <mergeCell ref="B121:E122"/>
    <mergeCell ref="L121:M121"/>
    <mergeCell ref="N121:O121"/>
    <mergeCell ref="L122:M122"/>
    <mergeCell ref="N122:O122"/>
    <mergeCell ref="B61:E62"/>
    <mergeCell ref="L61:M61"/>
    <mergeCell ref="N61:O61"/>
    <mergeCell ref="L62:M62"/>
    <mergeCell ref="N62:O62"/>
    <mergeCell ref="B65:C65"/>
    <mergeCell ref="D65:E65"/>
    <mergeCell ref="F65:G65"/>
    <mergeCell ref="H65:I65"/>
    <mergeCell ref="J65:K65"/>
    <mergeCell ref="L64:M64"/>
    <mergeCell ref="N64:O64"/>
    <mergeCell ref="L63:M63"/>
    <mergeCell ref="L65:M65"/>
    <mergeCell ref="N65:O65"/>
    <mergeCell ref="B1:F1"/>
    <mergeCell ref="B2:E3"/>
    <mergeCell ref="L2:M2"/>
    <mergeCell ref="N2:O2"/>
    <mergeCell ref="L3:M3"/>
    <mergeCell ref="N3:O3"/>
    <mergeCell ref="N4:O4"/>
    <mergeCell ref="B6:C6"/>
    <mergeCell ref="D6:E6"/>
    <mergeCell ref="F6:G6"/>
    <mergeCell ref="H6:I6"/>
    <mergeCell ref="J6:K6"/>
    <mergeCell ref="L6:M6"/>
    <mergeCell ref="N6:O6"/>
    <mergeCell ref="B5:C5"/>
    <mergeCell ref="D5:E5"/>
    <mergeCell ref="F5:G5"/>
    <mergeCell ref="H5:I5"/>
    <mergeCell ref="J5:K5"/>
    <mergeCell ref="L5:M5"/>
    <mergeCell ref="L4:M4"/>
    <mergeCell ref="N5:O5"/>
    <mergeCell ref="L1:M1"/>
    <mergeCell ref="L123:M123"/>
    <mergeCell ref="L183:M183"/>
    <mergeCell ref="L243:M243"/>
    <mergeCell ref="L303:M303"/>
    <mergeCell ref="L363:M363"/>
    <mergeCell ref="L423:M423"/>
    <mergeCell ref="L483:M483"/>
    <mergeCell ref="L543:M543"/>
    <mergeCell ref="L603:M603"/>
    <mergeCell ref="L124:M124"/>
    <mergeCell ref="L424:M424"/>
    <mergeCell ref="L484:M484"/>
    <mergeCell ref="N484:O484"/>
    <mergeCell ref="L544:M544"/>
    <mergeCell ref="N544:O544"/>
    <mergeCell ref="L604:M604"/>
    <mergeCell ref="N604:O604"/>
    <mergeCell ref="L664:M664"/>
    <mergeCell ref="N664:O664"/>
    <mergeCell ref="N124:O124"/>
    <mergeCell ref="L184:M184"/>
    <mergeCell ref="N184:O184"/>
    <mergeCell ref="L244:M244"/>
    <mergeCell ref="N244:O244"/>
    <mergeCell ref="L304:M304"/>
    <mergeCell ref="N304:O304"/>
    <mergeCell ref="L364:M364"/>
    <mergeCell ref="N364:O364"/>
  </mergeCells>
  <conditionalFormatting sqref="C9">
    <cfRule type="expression" dxfId="1263" priority="130">
      <formula>B7&gt;15</formula>
    </cfRule>
  </conditionalFormatting>
  <conditionalFormatting sqref="C10">
    <cfRule type="expression" dxfId="1262" priority="131">
      <formula>B7&gt;15</formula>
    </cfRule>
  </conditionalFormatting>
  <conditionalFormatting sqref="C11">
    <cfRule type="expression" dxfId="1261" priority="132">
      <formula>B7&gt;15</formula>
    </cfRule>
  </conditionalFormatting>
  <conditionalFormatting sqref="D9">
    <cfRule type="expression" dxfId="1260" priority="87">
      <formula>D7&gt;15</formula>
    </cfRule>
  </conditionalFormatting>
  <conditionalFormatting sqref="B14 D14 F14 H14 J14 L14 N14">
    <cfRule type="expression" dxfId="1259" priority="740">
      <formula>B7&gt;15</formula>
    </cfRule>
  </conditionalFormatting>
  <conditionalFormatting sqref="E12:E13">
    <cfRule type="expression" dxfId="1258" priority="733">
      <formula>D10&gt;15</formula>
    </cfRule>
  </conditionalFormatting>
  <conditionalFormatting sqref="C14 E14 G14 I14 K14 M14 O14">
    <cfRule type="expression" dxfId="1257" priority="741">
      <formula>B7&gt;15</formula>
    </cfRule>
  </conditionalFormatting>
  <conditionalFormatting sqref="D10">
    <cfRule type="expression" dxfId="1256" priority="734">
      <formula>D7&gt;15</formula>
    </cfRule>
  </conditionalFormatting>
  <conditionalFormatting sqref="D11">
    <cfRule type="expression" dxfId="1255" priority="735">
      <formula>D7&gt;15</formula>
    </cfRule>
  </conditionalFormatting>
  <conditionalFormatting sqref="B12 D12">
    <cfRule type="expression" dxfId="1254" priority="736">
      <formula>B7&gt;15</formula>
    </cfRule>
  </conditionalFormatting>
  <conditionalFormatting sqref="C12 E12">
    <cfRule type="expression" dxfId="1253" priority="737">
      <formula>B7&gt;15</formula>
    </cfRule>
  </conditionalFormatting>
  <conditionalFormatting sqref="B13 D13">
    <cfRule type="expression" dxfId="1252" priority="738">
      <formula>B7&gt;15</formula>
    </cfRule>
  </conditionalFormatting>
  <conditionalFormatting sqref="C13 E13">
    <cfRule type="expression" dxfId="1251" priority="739">
      <formula>B12&gt;15</formula>
    </cfRule>
  </conditionalFormatting>
  <conditionalFormatting sqref="B8 D8 F8 H8 J8 L8 N8">
    <cfRule type="expression" dxfId="1250" priority="730">
      <formula>B7&gt;15</formula>
    </cfRule>
  </conditionalFormatting>
  <conditionalFormatting sqref="C8 E8 G8 I8 K8 M8 O8">
    <cfRule type="expression" dxfId="1249" priority="731">
      <formula>B7&gt;15</formula>
    </cfRule>
  </conditionalFormatting>
  <conditionalFormatting sqref="B50 D50 F50 H50 J50 L50 N50">
    <cfRule type="expression" dxfId="1248" priority="726">
      <formula>B43&lt;15</formula>
    </cfRule>
  </conditionalFormatting>
  <conditionalFormatting sqref="B45 D45 F45 H45 J45">
    <cfRule type="expression" dxfId="1247" priority="716">
      <formula>B43&lt;15</formula>
    </cfRule>
  </conditionalFormatting>
  <conditionalFormatting sqref="C45 E45 G45 I45 K45">
    <cfRule type="expression" dxfId="1246" priority="717">
      <formula>B43&lt;15</formula>
    </cfRule>
  </conditionalFormatting>
  <conditionalFormatting sqref="C50 E50 G50 I50 K50 M50 O50">
    <cfRule type="expression" dxfId="1245" priority="727">
      <formula>B43&lt;15</formula>
    </cfRule>
  </conditionalFormatting>
  <conditionalFormatting sqref="B46 D46 F46 H46 J46">
    <cfRule type="expression" dxfId="1244" priority="718">
      <formula>B43&lt;15</formula>
    </cfRule>
  </conditionalFormatting>
  <conditionalFormatting sqref="C46 E46 G46 I46 K46">
    <cfRule type="expression" dxfId="1243" priority="719">
      <formula>B43&lt;15</formula>
    </cfRule>
  </conditionalFormatting>
  <conditionalFormatting sqref="B47 D47 F47 H47 J47">
    <cfRule type="expression" dxfId="1242" priority="720">
      <formula>B43&lt;15</formula>
    </cfRule>
  </conditionalFormatting>
  <conditionalFormatting sqref="C47 E47 G47 I47 K47">
    <cfRule type="expression" dxfId="1241" priority="721">
      <formula>B43&lt;15</formula>
    </cfRule>
  </conditionalFormatting>
  <conditionalFormatting sqref="B44 D44 F44 H44 J44 L44 N44">
    <cfRule type="expression" dxfId="1240" priority="714">
      <formula>B43&lt;15</formula>
    </cfRule>
  </conditionalFormatting>
  <conditionalFormatting sqref="C44 E44 G44 I44 K44 M44 O44">
    <cfRule type="expression" dxfId="1239" priority="715">
      <formula>B43&lt;15</formula>
    </cfRule>
  </conditionalFormatting>
  <conditionalFormatting sqref="B59 D59 F59 H59 J59 L59 N59">
    <cfRule type="expression" dxfId="1238" priority="710">
      <formula>B52&lt;15</formula>
    </cfRule>
  </conditionalFormatting>
  <conditionalFormatting sqref="B54 D54 F54 H54 J54 L54 N54">
    <cfRule type="expression" dxfId="1237" priority="700">
      <formula>B52&lt;15</formula>
    </cfRule>
  </conditionalFormatting>
  <conditionalFormatting sqref="C54 E54 G54 I54 K54 M54 O54">
    <cfRule type="expression" dxfId="1236" priority="701">
      <formula>B52&lt;15</formula>
    </cfRule>
  </conditionalFormatting>
  <conditionalFormatting sqref="C59 E59 G59 I59 K59 M59 O59">
    <cfRule type="expression" dxfId="1235" priority="711">
      <formula>B52&lt;15</formula>
    </cfRule>
  </conditionalFormatting>
  <conditionalFormatting sqref="P59">
    <cfRule type="expression" dxfId="1234" priority="712">
      <formula>N52&lt;15</formula>
    </cfRule>
  </conditionalFormatting>
  <conditionalFormatting sqref="B55 D55 F55 H55 J55 L55 N55">
    <cfRule type="expression" dxfId="1233" priority="702">
      <formula>B52&lt;15</formula>
    </cfRule>
  </conditionalFormatting>
  <conditionalFormatting sqref="C55 E55 G55 I55 K55 M55 O55">
    <cfRule type="expression" dxfId="1232" priority="703">
      <formula>B52&lt;15</formula>
    </cfRule>
  </conditionalFormatting>
  <conditionalFormatting sqref="B56 D56 F56 H56 J56 L56 N56">
    <cfRule type="expression" dxfId="1231" priority="704">
      <formula>B52&lt;15</formula>
    </cfRule>
  </conditionalFormatting>
  <conditionalFormatting sqref="C56 E56 G56 I56 K56 M56 O56">
    <cfRule type="expression" dxfId="1230" priority="705">
      <formula>B52&lt;15</formula>
    </cfRule>
  </conditionalFormatting>
  <conditionalFormatting sqref="B57 D57 F57 H57 J57 L57 N57">
    <cfRule type="expression" dxfId="1229" priority="706">
      <formula>B52&lt;15</formula>
    </cfRule>
  </conditionalFormatting>
  <conditionalFormatting sqref="C57 E57 G57 I57 K57 M57 O57">
    <cfRule type="expression" dxfId="1228" priority="707">
      <formula>B52&lt;15</formula>
    </cfRule>
  </conditionalFormatting>
  <conditionalFormatting sqref="B58 D58 F58 H58 J58 L58 N58">
    <cfRule type="expression" dxfId="1227" priority="708">
      <formula>B52&lt;15</formula>
    </cfRule>
  </conditionalFormatting>
  <conditionalFormatting sqref="C58 E58 G58 I58 K58 M58 O58">
    <cfRule type="expression" dxfId="1226" priority="709">
      <formula>B57&lt;15</formula>
    </cfRule>
  </conditionalFormatting>
  <conditionalFormatting sqref="B53 D53 F53 H53 J53 L53 N53">
    <cfRule type="expression" dxfId="1225" priority="698">
      <formula>B52&lt;15</formula>
    </cfRule>
  </conditionalFormatting>
  <conditionalFormatting sqref="C53 E53 G53 I53 K53 M53 O53">
    <cfRule type="expression" dxfId="1224" priority="699">
      <formula>B52&lt;15</formula>
    </cfRule>
  </conditionalFormatting>
  <conditionalFormatting sqref="B74 D74 F74 H74 J74 L74 N74">
    <cfRule type="expression" dxfId="1223" priority="694">
      <formula>B67&gt;15</formula>
    </cfRule>
  </conditionalFormatting>
  <conditionalFormatting sqref="B69 D69 F69 H69 J69 L69 N69">
    <cfRule type="expression" dxfId="1222" priority="684">
      <formula>B67&gt;15</formula>
    </cfRule>
  </conditionalFormatting>
  <conditionalFormatting sqref="C69 E69 G69 I69 K69 M69 O69">
    <cfRule type="expression" dxfId="1221" priority="685">
      <formula>B67&gt;15</formula>
    </cfRule>
  </conditionalFormatting>
  <conditionalFormatting sqref="C74 E74 G74 I74 K74 M74 O74">
    <cfRule type="expression" dxfId="1220" priority="695">
      <formula>B67&gt;15</formula>
    </cfRule>
  </conditionalFormatting>
  <conditionalFormatting sqref="P74">
    <cfRule type="expression" dxfId="1219" priority="696">
      <formula>N67&gt;15</formula>
    </cfRule>
  </conditionalFormatting>
  <conditionalFormatting sqref="B70 D70 F70 H70 J70 L70 N70">
    <cfRule type="expression" dxfId="1218" priority="686">
      <formula>B67&gt;15</formula>
    </cfRule>
  </conditionalFormatting>
  <conditionalFormatting sqref="C70 E70 G70 I70 K70 M70 O70">
    <cfRule type="expression" dxfId="1217" priority="687">
      <formula>B67&gt;15</formula>
    </cfRule>
  </conditionalFormatting>
  <conditionalFormatting sqref="B71 D71 F71 H71 J71 L71 N71">
    <cfRule type="expression" dxfId="1216" priority="688">
      <formula>B67&gt;15</formula>
    </cfRule>
  </conditionalFormatting>
  <conditionalFormatting sqref="C71 E71 G71 I71 K71 M71 O71">
    <cfRule type="expression" dxfId="1215" priority="689">
      <formula>B67&gt;15</formula>
    </cfRule>
  </conditionalFormatting>
  <conditionalFormatting sqref="B72 D72 F72 H72 J72">
    <cfRule type="expression" dxfId="1214" priority="690">
      <formula>B67&gt;15</formula>
    </cfRule>
  </conditionalFormatting>
  <conditionalFormatting sqref="C72 E72 G72 I72 K72">
    <cfRule type="expression" dxfId="1213" priority="691">
      <formula>B67&gt;15</formula>
    </cfRule>
  </conditionalFormatting>
  <conditionalFormatting sqref="B73 D73 F73 H73 J73">
    <cfRule type="expression" dxfId="1212" priority="692">
      <formula>B67&gt;15</formula>
    </cfRule>
  </conditionalFormatting>
  <conditionalFormatting sqref="C73 E73 G73 I73 K73">
    <cfRule type="expression" dxfId="1211" priority="693">
      <formula>B72&gt;15</formula>
    </cfRule>
  </conditionalFormatting>
  <conditionalFormatting sqref="B68 D68 F68 H68 J68 L68 N68">
    <cfRule type="expression" dxfId="1210" priority="682">
      <formula>B67&gt;15</formula>
    </cfRule>
  </conditionalFormatting>
  <conditionalFormatting sqref="C68 E68 G68 I68 K68 M68 O68">
    <cfRule type="expression" dxfId="1209" priority="683">
      <formula>B67&gt;15</formula>
    </cfRule>
  </conditionalFormatting>
  <conditionalFormatting sqref="B110 D110 F110 H110 J110 L110 N110">
    <cfRule type="expression" dxfId="1208" priority="678">
      <formula>B103&lt;15</formula>
    </cfRule>
  </conditionalFormatting>
  <conditionalFormatting sqref="D105 F105 H105 J105 L105 N105">
    <cfRule type="expression" dxfId="1207" priority="668">
      <formula>D103&lt;15</formula>
    </cfRule>
  </conditionalFormatting>
  <conditionalFormatting sqref="E105 G105 I105 K105 M105 O105">
    <cfRule type="expression" dxfId="1206" priority="669">
      <formula>D103&lt;15</formula>
    </cfRule>
  </conditionalFormatting>
  <conditionalFormatting sqref="C110 E110 G110 I110 K110 M110 O110">
    <cfRule type="expression" dxfId="1205" priority="679">
      <formula>B103&lt;15</formula>
    </cfRule>
  </conditionalFormatting>
  <conditionalFormatting sqref="P110">
    <cfRule type="expression" dxfId="1204" priority="680">
      <formula>N103&lt;15</formula>
    </cfRule>
  </conditionalFormatting>
  <conditionalFormatting sqref="D106 F106 H106 J106 L106 N106">
    <cfRule type="expression" dxfId="1203" priority="670">
      <formula>D103&lt;15</formula>
    </cfRule>
  </conditionalFormatting>
  <conditionalFormatting sqref="E106 G106 I106 K106 M106 O106">
    <cfRule type="expression" dxfId="1202" priority="671">
      <formula>D103&lt;15</formula>
    </cfRule>
  </conditionalFormatting>
  <conditionalFormatting sqref="D107 F107 H107 J107 L107 N107">
    <cfRule type="expression" dxfId="1201" priority="672">
      <formula>D103&lt;15</formula>
    </cfRule>
  </conditionalFormatting>
  <conditionalFormatting sqref="E107 G107 I107 K107 M107 O107">
    <cfRule type="expression" dxfId="1200" priority="673">
      <formula>D103&lt;15</formula>
    </cfRule>
  </conditionalFormatting>
  <conditionalFormatting sqref="B104 D104 F104 H104 J104 L104 N104">
    <cfRule type="expression" dxfId="1199" priority="666">
      <formula>B103&lt;15</formula>
    </cfRule>
  </conditionalFormatting>
  <conditionalFormatting sqref="C104 E104 G104 I104 K104 M104 O104">
    <cfRule type="expression" dxfId="1198" priority="667">
      <formula>B103&lt;15</formula>
    </cfRule>
  </conditionalFormatting>
  <conditionalFormatting sqref="B119 D119 F119 H119 J119 L119 N119">
    <cfRule type="expression" dxfId="1197" priority="662">
      <formula>B112&lt;15</formula>
    </cfRule>
  </conditionalFormatting>
  <conditionalFormatting sqref="B114 D114 F114 H114 J114 L114 N114">
    <cfRule type="expression" dxfId="1196" priority="652">
      <formula>B112&lt;15</formula>
    </cfRule>
  </conditionalFormatting>
  <conditionalFormatting sqref="C114 E114 G114 I114 K114 M114 O114">
    <cfRule type="expression" dxfId="1195" priority="653">
      <formula>B112&lt;15</formula>
    </cfRule>
  </conditionalFormatting>
  <conditionalFormatting sqref="C119 E119 G119 I119 K119 M119 O119">
    <cfRule type="expression" dxfId="1194" priority="663">
      <formula>B112&lt;15</formula>
    </cfRule>
  </conditionalFormatting>
  <conditionalFormatting sqref="P119">
    <cfRule type="expression" dxfId="1193" priority="664">
      <formula>N112&lt;15</formula>
    </cfRule>
  </conditionalFormatting>
  <conditionalFormatting sqref="B115 D115 F115 H115 J115 L115 N115">
    <cfRule type="expression" dxfId="1192" priority="654">
      <formula>B112&lt;15</formula>
    </cfRule>
  </conditionalFormatting>
  <conditionalFormatting sqref="C115 E115 G115 I115 K115 M115 O115">
    <cfRule type="expression" dxfId="1191" priority="655">
      <formula>B112&lt;15</formula>
    </cfRule>
  </conditionalFormatting>
  <conditionalFormatting sqref="B116 D116 F116 H116 J116 L116 N116">
    <cfRule type="expression" dxfId="1190" priority="656">
      <formula>B112&lt;15</formula>
    </cfRule>
  </conditionalFormatting>
  <conditionalFormatting sqref="C116 E116 G116 I116 K116 M116 O116">
    <cfRule type="expression" dxfId="1189" priority="657">
      <formula>B112&lt;15</formula>
    </cfRule>
  </conditionalFormatting>
  <conditionalFormatting sqref="B117 D117 F117 H117 J117 L117 N117">
    <cfRule type="expression" dxfId="1188" priority="658">
      <formula>B112&lt;15</formula>
    </cfRule>
  </conditionalFormatting>
  <conditionalFormatting sqref="C117 E117 G117 I117 K117 M117 O117">
    <cfRule type="expression" dxfId="1187" priority="659">
      <formula>B112&lt;15</formula>
    </cfRule>
  </conditionalFormatting>
  <conditionalFormatting sqref="B118 D118 F118 H118 J118 L118 N118">
    <cfRule type="expression" dxfId="1186" priority="660">
      <formula>B112&lt;15</formula>
    </cfRule>
  </conditionalFormatting>
  <conditionalFormatting sqref="C118 E118 G118 I118 K118 M118 O118">
    <cfRule type="expression" dxfId="1185" priority="661">
      <formula>B117&lt;15</formula>
    </cfRule>
  </conditionalFormatting>
  <conditionalFormatting sqref="B113 D113 F113 H113 J113 L113 N113">
    <cfRule type="expression" dxfId="1184" priority="650">
      <formula>B112&lt;15</formula>
    </cfRule>
  </conditionalFormatting>
  <conditionalFormatting sqref="C113 E113 G113 I113 K113 M113 O113">
    <cfRule type="expression" dxfId="1183" priority="651">
      <formula>B112&lt;15</formula>
    </cfRule>
  </conditionalFormatting>
  <conditionalFormatting sqref="B134 D134 F134 H134 J134 L134 N134">
    <cfRule type="expression" dxfId="1182" priority="646">
      <formula>B127&gt;15</formula>
    </cfRule>
  </conditionalFormatting>
  <conditionalFormatting sqref="B129 D129 F129 H129 J129 L129 N129">
    <cfRule type="expression" dxfId="1181" priority="636">
      <formula>B127&gt;15</formula>
    </cfRule>
  </conditionalFormatting>
  <conditionalFormatting sqref="C129 E129 G129 I129 K129 M129 O129">
    <cfRule type="expression" dxfId="1180" priority="637">
      <formula>B127&gt;15</formula>
    </cfRule>
  </conditionalFormatting>
  <conditionalFormatting sqref="C134 E134 G134 I134 K134 M134 O134">
    <cfRule type="expression" dxfId="1179" priority="647">
      <formula>B127&gt;15</formula>
    </cfRule>
  </conditionalFormatting>
  <conditionalFormatting sqref="P134">
    <cfRule type="expression" dxfId="1178" priority="648">
      <formula>N127&gt;15</formula>
    </cfRule>
  </conditionalFormatting>
  <conditionalFormatting sqref="B130 D130 F130 H130 J130 L130 N130">
    <cfRule type="expression" dxfId="1177" priority="638">
      <formula>B127&gt;15</formula>
    </cfRule>
  </conditionalFormatting>
  <conditionalFormatting sqref="C130 E130 G130 I130 K130 M130 O130">
    <cfRule type="expression" dxfId="1176" priority="639">
      <formula>B127&gt;15</formula>
    </cfRule>
  </conditionalFormatting>
  <conditionalFormatting sqref="B131 D131 F131 H131 J131 L131 N131">
    <cfRule type="expression" dxfId="1175" priority="640">
      <formula>B127&gt;15</formula>
    </cfRule>
  </conditionalFormatting>
  <conditionalFormatting sqref="C131 E131 G131 I131 K131 M131 O131">
    <cfRule type="expression" dxfId="1174" priority="641">
      <formula>B127&gt;15</formula>
    </cfRule>
  </conditionalFormatting>
  <conditionalFormatting sqref="B132 D132 F132 H132 J132 L132">
    <cfRule type="expression" dxfId="1173" priority="642">
      <formula>B127&gt;15</formula>
    </cfRule>
  </conditionalFormatting>
  <conditionalFormatting sqref="C132 E132 G132 I132 K132 M132">
    <cfRule type="expression" dxfId="1172" priority="643">
      <formula>B127&gt;15</formula>
    </cfRule>
  </conditionalFormatting>
  <conditionalFormatting sqref="B133 D133 F133 H133 J133 L133">
    <cfRule type="expression" dxfId="1171" priority="644">
      <formula>B127&gt;15</formula>
    </cfRule>
  </conditionalFormatting>
  <conditionalFormatting sqref="C133 E133 G133 I133 K133 M133">
    <cfRule type="expression" dxfId="1170" priority="645">
      <formula>B132&gt;15</formula>
    </cfRule>
  </conditionalFormatting>
  <conditionalFormatting sqref="B128 D128 F128 H128 J128 L128 N128">
    <cfRule type="expression" dxfId="1169" priority="634">
      <formula>B127&gt;15</formula>
    </cfRule>
  </conditionalFormatting>
  <conditionalFormatting sqref="C128 E128 G128 I128 K128 M128 O128">
    <cfRule type="expression" dxfId="1168" priority="635">
      <formula>B127&gt;15</formula>
    </cfRule>
  </conditionalFormatting>
  <conditionalFormatting sqref="B170 D170 F170 H170 J170 L170 N170">
    <cfRule type="expression" dxfId="1167" priority="630">
      <formula>B163&lt;15</formula>
    </cfRule>
  </conditionalFormatting>
  <conditionalFormatting sqref="B165 D165 F165 J165 L165 N165">
    <cfRule type="expression" dxfId="1166" priority="620">
      <formula>B163&lt;15</formula>
    </cfRule>
  </conditionalFormatting>
  <conditionalFormatting sqref="C165 E165 G165 K165 M165 O165">
    <cfRule type="expression" dxfId="1165" priority="621">
      <formula>B163&lt;15</formula>
    </cfRule>
  </conditionalFormatting>
  <conditionalFormatting sqref="C170 E170 G170 I170 K170 M170 O170">
    <cfRule type="expression" dxfId="1164" priority="631">
      <formula>B163&lt;15</formula>
    </cfRule>
  </conditionalFormatting>
  <conditionalFormatting sqref="P170">
    <cfRule type="expression" dxfId="1163" priority="632">
      <formula>N163&lt;15</formula>
    </cfRule>
  </conditionalFormatting>
  <conditionalFormatting sqref="B166 D166 F166 J166 L166 N166">
    <cfRule type="expression" dxfId="1162" priority="622">
      <formula>B163&lt;15</formula>
    </cfRule>
  </conditionalFormatting>
  <conditionalFormatting sqref="C166 E166 G166 K166 M166 O166">
    <cfRule type="expression" dxfId="1161" priority="623">
      <formula>B163&lt;15</formula>
    </cfRule>
  </conditionalFormatting>
  <conditionalFormatting sqref="B167 D167 F167 J167 L167 N167">
    <cfRule type="expression" dxfId="1160" priority="624">
      <formula>B163&lt;15</formula>
    </cfRule>
  </conditionalFormatting>
  <conditionalFormatting sqref="C167 E167 G167 K167 M167 O167">
    <cfRule type="expression" dxfId="1159" priority="625">
      <formula>B163&lt;15</formula>
    </cfRule>
  </conditionalFormatting>
  <conditionalFormatting sqref="B164 D164 F164 H164 J164 L164 N164">
    <cfRule type="expression" dxfId="1158" priority="618">
      <formula>B163&lt;15</formula>
    </cfRule>
  </conditionalFormatting>
  <conditionalFormatting sqref="C164 E164 G164 I164 K164 M164 O164">
    <cfRule type="expression" dxfId="1157" priority="619">
      <formula>B163&lt;15</formula>
    </cfRule>
  </conditionalFormatting>
  <conditionalFormatting sqref="B179 D179 F179 H179 J179 L179 N179">
    <cfRule type="expression" dxfId="1156" priority="614">
      <formula>B172&lt;15</formula>
    </cfRule>
  </conditionalFormatting>
  <conditionalFormatting sqref="B174 D174 F174 H174 J174 L174 N174">
    <cfRule type="expression" dxfId="1155" priority="604">
      <formula>B172&lt;15</formula>
    </cfRule>
  </conditionalFormatting>
  <conditionalFormatting sqref="C174 E174 G174 I174 K174 M174 O174">
    <cfRule type="expression" dxfId="1154" priority="605">
      <formula>B172&lt;15</formula>
    </cfRule>
  </conditionalFormatting>
  <conditionalFormatting sqref="C179 E179 G179 I179 K179 M179 O179">
    <cfRule type="expression" dxfId="1153" priority="615">
      <formula>B172&lt;15</formula>
    </cfRule>
  </conditionalFormatting>
  <conditionalFormatting sqref="P179">
    <cfRule type="expression" dxfId="1152" priority="616">
      <formula>N172&lt;15</formula>
    </cfRule>
  </conditionalFormatting>
  <conditionalFormatting sqref="B175 D175 F175 H175 J175 L175 N175">
    <cfRule type="expression" dxfId="1151" priority="606">
      <formula>B172&lt;15</formula>
    </cfRule>
  </conditionalFormatting>
  <conditionalFormatting sqref="C175 E175 G175 I175 K175 M175 O175">
    <cfRule type="expression" dxfId="1150" priority="607">
      <formula>B172&lt;15</formula>
    </cfRule>
  </conditionalFormatting>
  <conditionalFormatting sqref="B176 D176 F176 H176 J176 L176 N176">
    <cfRule type="expression" dxfId="1149" priority="608">
      <formula>B172&lt;15</formula>
    </cfRule>
  </conditionalFormatting>
  <conditionalFormatting sqref="C176 E176 G176 I176 K176 M176 O176">
    <cfRule type="expression" dxfId="1148" priority="609">
      <formula>B172&lt;15</formula>
    </cfRule>
  </conditionalFormatting>
  <conditionalFormatting sqref="F177 H177 J177 L177 N177">
    <cfRule type="expression" dxfId="1147" priority="610">
      <formula>F172&lt;15</formula>
    </cfRule>
  </conditionalFormatting>
  <conditionalFormatting sqref="G177 I177 K177 M177 O177">
    <cfRule type="expression" dxfId="1146" priority="611">
      <formula>F172&lt;15</formula>
    </cfRule>
  </conditionalFormatting>
  <conditionalFormatting sqref="F178 H178 J178 L178 N178">
    <cfRule type="expression" dxfId="1145" priority="612">
      <formula>F172&lt;15</formula>
    </cfRule>
  </conditionalFormatting>
  <conditionalFormatting sqref="G178 I178 K178 M178 O178">
    <cfRule type="expression" dxfId="1144" priority="613">
      <formula>F177&lt;15</formula>
    </cfRule>
  </conditionalFormatting>
  <conditionalFormatting sqref="B173 D173 F173 H173 J173 L173 N173">
    <cfRule type="expression" dxfId="1143" priority="602">
      <formula>B172&lt;15</formula>
    </cfRule>
  </conditionalFormatting>
  <conditionalFormatting sqref="C173 E173 G173 I173 K173 M173 O173">
    <cfRule type="expression" dxfId="1142" priority="603">
      <formula>B172&lt;15</formula>
    </cfRule>
  </conditionalFormatting>
  <conditionalFormatting sqref="B194 D194 F194 H194 J194 L194 N194">
    <cfRule type="expression" dxfId="1141" priority="598">
      <formula>B187&gt;15</formula>
    </cfRule>
  </conditionalFormatting>
  <conditionalFormatting sqref="B189 D189 F189 H189 J189 L189 N189">
    <cfRule type="expression" dxfId="1140" priority="588">
      <formula>B187&gt;15</formula>
    </cfRule>
  </conditionalFormatting>
  <conditionalFormatting sqref="C189 E189 G189 I189 K189 M189 O189">
    <cfRule type="expression" dxfId="1139" priority="589">
      <formula>B187&gt;15</formula>
    </cfRule>
  </conditionalFormatting>
  <conditionalFormatting sqref="C194 E194 G194 I194 K194 M194 O194">
    <cfRule type="expression" dxfId="1138" priority="599">
      <formula>B187&gt;15</formula>
    </cfRule>
  </conditionalFormatting>
  <conditionalFormatting sqref="P194">
    <cfRule type="expression" dxfId="1137" priority="600">
      <formula>N187&gt;15</formula>
    </cfRule>
  </conditionalFormatting>
  <conditionalFormatting sqref="B190 D190 F190 H190 J190 L190 N190">
    <cfRule type="expression" dxfId="1136" priority="590">
      <formula>B187&gt;15</formula>
    </cfRule>
  </conditionalFormatting>
  <conditionalFormatting sqref="C190 E190 G190 I190 K190 M190 O190">
    <cfRule type="expression" dxfId="1135" priority="591">
      <formula>B187&gt;15</formula>
    </cfRule>
  </conditionalFormatting>
  <conditionalFormatting sqref="B191 D191 F191 H191 J191 L191 N191">
    <cfRule type="expression" dxfId="1134" priority="592">
      <formula>B187&gt;15</formula>
    </cfRule>
  </conditionalFormatting>
  <conditionalFormatting sqref="C191 E191 G191 I191 K191 M191 O191">
    <cfRule type="expression" dxfId="1133" priority="593">
      <formula>B187&gt;15</formula>
    </cfRule>
  </conditionalFormatting>
  <conditionalFormatting sqref="B192 D192">
    <cfRule type="expression" dxfId="1132" priority="594">
      <formula>B187&gt;15</formula>
    </cfRule>
  </conditionalFormatting>
  <conditionalFormatting sqref="C192 E192">
    <cfRule type="expression" dxfId="1131" priority="595">
      <formula>B187&gt;15</formula>
    </cfRule>
  </conditionalFormatting>
  <conditionalFormatting sqref="B193 D193">
    <cfRule type="expression" dxfId="1130" priority="596">
      <formula>B187&gt;15</formula>
    </cfRule>
  </conditionalFormatting>
  <conditionalFormatting sqref="C193 E193">
    <cfRule type="expression" dxfId="1129" priority="597">
      <formula>B192&gt;15</formula>
    </cfRule>
  </conditionalFormatting>
  <conditionalFormatting sqref="B188 D188 F188 H188 J188 L188 N188">
    <cfRule type="expression" dxfId="1128" priority="586">
      <formula>B187&gt;15</formula>
    </cfRule>
  </conditionalFormatting>
  <conditionalFormatting sqref="C188 E188 G188 I188 K188 M188 O188">
    <cfRule type="expression" dxfId="1127" priority="587">
      <formula>B187&gt;15</formula>
    </cfRule>
  </conditionalFormatting>
  <conditionalFormatting sqref="B230 D230 F230 H230 J230 L230 N230">
    <cfRule type="expression" dxfId="1126" priority="582">
      <formula>B223&lt;15</formula>
    </cfRule>
  </conditionalFormatting>
  <conditionalFormatting sqref="B225 D225 F225 H225 J225 N225">
    <cfRule type="expression" dxfId="1125" priority="572">
      <formula>B223&lt;15</formula>
    </cfRule>
  </conditionalFormatting>
  <conditionalFormatting sqref="C225 E225 G225 I225 K225 O225">
    <cfRule type="expression" dxfId="1124" priority="573">
      <formula>B223&lt;15</formula>
    </cfRule>
  </conditionalFormatting>
  <conditionalFormatting sqref="C230 E230 G230 I230 K230 M230 O230">
    <cfRule type="expression" dxfId="1123" priority="583">
      <formula>B223&lt;15</formula>
    </cfRule>
  </conditionalFormatting>
  <conditionalFormatting sqref="P230">
    <cfRule type="expression" dxfId="1122" priority="584">
      <formula>N223&lt;15</formula>
    </cfRule>
  </conditionalFormatting>
  <conditionalFormatting sqref="B226 D226 F226 H226 J226 N226">
    <cfRule type="expression" dxfId="1121" priority="574">
      <formula>B223&lt;15</formula>
    </cfRule>
  </conditionalFormatting>
  <conditionalFormatting sqref="C226 E226 G226 I226 K226 O226">
    <cfRule type="expression" dxfId="1120" priority="575">
      <formula>B223&lt;15</formula>
    </cfRule>
  </conditionalFormatting>
  <conditionalFormatting sqref="B227 D227 F227 H227 J227 N227">
    <cfRule type="expression" dxfId="1119" priority="576">
      <formula>B223&lt;15</formula>
    </cfRule>
  </conditionalFormatting>
  <conditionalFormatting sqref="C227 E227 G227 I227 K227 O227">
    <cfRule type="expression" dxfId="1118" priority="577">
      <formula>B223&lt;15</formula>
    </cfRule>
  </conditionalFormatting>
  <conditionalFormatting sqref="J228 N228">
    <cfRule type="expression" dxfId="1117" priority="578">
      <formula>J223&lt;15</formula>
    </cfRule>
  </conditionalFormatting>
  <conditionalFormatting sqref="K228 O228">
    <cfRule type="expression" dxfId="1116" priority="579">
      <formula>J223&lt;15</formula>
    </cfRule>
  </conditionalFormatting>
  <conditionalFormatting sqref="J229 N229">
    <cfRule type="expression" dxfId="1115" priority="580">
      <formula>J223&lt;15</formula>
    </cfRule>
  </conditionalFormatting>
  <conditionalFormatting sqref="K229 O229">
    <cfRule type="expression" dxfId="1114" priority="581">
      <formula>J228&lt;15</formula>
    </cfRule>
  </conditionalFormatting>
  <conditionalFormatting sqref="B224 D224 F224 H224 J224 L224 N224">
    <cfRule type="expression" dxfId="1113" priority="570">
      <formula>B223&lt;15</formula>
    </cfRule>
  </conditionalFormatting>
  <conditionalFormatting sqref="C224 E224 G224 I224 K224 M224 O224">
    <cfRule type="expression" dxfId="1112" priority="571">
      <formula>B223&lt;15</formula>
    </cfRule>
  </conditionalFormatting>
  <conditionalFormatting sqref="B239 D239 F239 H239 J239 L239 N239">
    <cfRule type="expression" dxfId="1111" priority="566">
      <formula>B232&lt;15</formula>
    </cfRule>
  </conditionalFormatting>
  <conditionalFormatting sqref="B234 D234 F234 H234 J234 L234 N234">
    <cfRule type="expression" dxfId="1110" priority="556">
      <formula>B232&lt;15</formula>
    </cfRule>
  </conditionalFormatting>
  <conditionalFormatting sqref="C234 E234 G234 I234 K234 M234 O234">
    <cfRule type="expression" dxfId="1109" priority="557">
      <formula>B232&lt;15</formula>
    </cfRule>
  </conditionalFormatting>
  <conditionalFormatting sqref="C239 E239 G239 I239 K239 M239 O239">
    <cfRule type="expression" dxfId="1108" priority="567">
      <formula>B232&lt;15</formula>
    </cfRule>
  </conditionalFormatting>
  <conditionalFormatting sqref="P239">
    <cfRule type="expression" dxfId="1107" priority="568">
      <formula>N232&lt;15</formula>
    </cfRule>
  </conditionalFormatting>
  <conditionalFormatting sqref="B235 D235 F235 H235 J235 L235 N235">
    <cfRule type="expression" dxfId="1106" priority="558">
      <formula>B232&lt;15</formula>
    </cfRule>
  </conditionalFormatting>
  <conditionalFormatting sqref="C235 E235 G235 I235 K235 M235 O235">
    <cfRule type="expression" dxfId="1105" priority="559">
      <formula>B232&lt;15</formula>
    </cfRule>
  </conditionalFormatting>
  <conditionalFormatting sqref="B236 D236 F236 H236 J236 L236 N236">
    <cfRule type="expression" dxfId="1104" priority="560">
      <formula>B232&lt;15</formula>
    </cfRule>
  </conditionalFormatting>
  <conditionalFormatting sqref="C236 E236 G236 I236 K236 M236 O236">
    <cfRule type="expression" dxfId="1103" priority="561">
      <formula>B232&lt;15</formula>
    </cfRule>
  </conditionalFormatting>
  <conditionalFormatting sqref="B237 D237 F237 H237 J237 L237 N237">
    <cfRule type="expression" dxfId="1102" priority="562">
      <formula>B232&lt;15</formula>
    </cfRule>
  </conditionalFormatting>
  <conditionalFormatting sqref="C237 E237 G237 I237 K237 M237 O237">
    <cfRule type="expression" dxfId="1101" priority="563">
      <formula>B232&lt;15</formula>
    </cfRule>
  </conditionalFormatting>
  <conditionalFormatting sqref="B238 D238 F238 H238 J238 L238 N238">
    <cfRule type="expression" dxfId="1100" priority="564">
      <formula>B232&lt;15</formula>
    </cfRule>
  </conditionalFormatting>
  <conditionalFormatting sqref="C238 E238 G238 I238 K238 M238 O238">
    <cfRule type="expression" dxfId="1099" priority="565">
      <formula>B237&lt;15</formula>
    </cfRule>
  </conditionalFormatting>
  <conditionalFormatting sqref="B233 D233 F233 H233 J233 L233 N233">
    <cfRule type="expression" dxfId="1098" priority="554">
      <formula>B232&lt;15</formula>
    </cfRule>
  </conditionalFormatting>
  <conditionalFormatting sqref="C233 E233 G233 I233 K233 M233 O233">
    <cfRule type="expression" dxfId="1097" priority="555">
      <formula>B232&lt;15</formula>
    </cfRule>
  </conditionalFormatting>
  <conditionalFormatting sqref="B254 D254 F254 H254 J254 L254 N254">
    <cfRule type="expression" dxfId="1096" priority="550">
      <formula>B247&gt;15</formula>
    </cfRule>
  </conditionalFormatting>
  <conditionalFormatting sqref="B249 D249 F249 H249 J249 L249 N249">
    <cfRule type="expression" dxfId="1095" priority="540">
      <formula>B247&gt;15</formula>
    </cfRule>
  </conditionalFormatting>
  <conditionalFormatting sqref="C249 E249 G249 I249 K249 M249 O249">
    <cfRule type="expression" dxfId="1094" priority="541">
      <formula>B247&gt;15</formula>
    </cfRule>
  </conditionalFormatting>
  <conditionalFormatting sqref="C254 E254 G254 I254 K254 M254 O254">
    <cfRule type="expression" dxfId="1093" priority="551">
      <formula>B247&gt;15</formula>
    </cfRule>
  </conditionalFormatting>
  <conditionalFormatting sqref="P254">
    <cfRule type="expression" dxfId="1092" priority="552">
      <formula>N247&gt;15</formula>
    </cfRule>
  </conditionalFormatting>
  <conditionalFormatting sqref="B250 D250 F250 H250 J250 L250 N250">
    <cfRule type="expression" dxfId="1091" priority="542">
      <formula>B247&gt;15</formula>
    </cfRule>
  </conditionalFormatting>
  <conditionalFormatting sqref="C250 E250 G250 I250 K250 M250 O250">
    <cfRule type="expression" dxfId="1090" priority="543">
      <formula>B247&gt;15</formula>
    </cfRule>
  </conditionalFormatting>
  <conditionalFormatting sqref="B251 D251 F251 H251 J251 L251 N251">
    <cfRule type="expression" dxfId="1089" priority="544">
      <formula>B247&gt;15</formula>
    </cfRule>
  </conditionalFormatting>
  <conditionalFormatting sqref="C251 E251 G251 I251 K251 M251 O251">
    <cfRule type="expression" dxfId="1088" priority="545">
      <formula>B247&gt;15</formula>
    </cfRule>
  </conditionalFormatting>
  <conditionalFormatting sqref="B252 D252 F252 H252">
    <cfRule type="expression" dxfId="1087" priority="546">
      <formula>B247&gt;15</formula>
    </cfRule>
  </conditionalFormatting>
  <conditionalFormatting sqref="C252 E252 G252 I252">
    <cfRule type="expression" dxfId="1086" priority="547">
      <formula>B247&gt;15</formula>
    </cfRule>
  </conditionalFormatting>
  <conditionalFormatting sqref="B253 D253 F253 H253">
    <cfRule type="expression" dxfId="1085" priority="548">
      <formula>B247&gt;15</formula>
    </cfRule>
  </conditionalFormatting>
  <conditionalFormatting sqref="C253 E253 G253 I253">
    <cfRule type="expression" dxfId="1084" priority="549">
      <formula>B252&gt;15</formula>
    </cfRule>
  </conditionalFormatting>
  <conditionalFormatting sqref="B248 D248 F248 H248 J248 L248 N248">
    <cfRule type="expression" dxfId="1083" priority="538">
      <formula>B247&gt;15</formula>
    </cfRule>
  </conditionalFormatting>
  <conditionalFormatting sqref="C248 E248 G248 I248 K248 M248 O248">
    <cfRule type="expression" dxfId="1082" priority="539">
      <formula>B247&gt;15</formula>
    </cfRule>
  </conditionalFormatting>
  <conditionalFormatting sqref="B290 D290 F290 H290 J290 L290 N290">
    <cfRule type="expression" dxfId="1081" priority="534">
      <formula>B283&lt;15</formula>
    </cfRule>
  </conditionalFormatting>
  <conditionalFormatting sqref="B285 D285 F285 H285 J285 L285 N285">
    <cfRule type="expression" dxfId="1080" priority="524">
      <formula>B283&lt;15</formula>
    </cfRule>
  </conditionalFormatting>
  <conditionalFormatting sqref="C285 E285 G285 I285 K285 M285 O285">
    <cfRule type="expression" dxfId="1079" priority="525">
      <formula>B283&lt;15</formula>
    </cfRule>
  </conditionalFormatting>
  <conditionalFormatting sqref="C290 E290 G290 I290 K290 M290 O290">
    <cfRule type="expression" dxfId="1078" priority="535">
      <formula>B283&lt;15</formula>
    </cfRule>
  </conditionalFormatting>
  <conditionalFormatting sqref="P290">
    <cfRule type="expression" dxfId="1077" priority="536">
      <formula>N283&lt;15</formula>
    </cfRule>
  </conditionalFormatting>
  <conditionalFormatting sqref="B286 D286 F286 H286 J286 L286 N286">
    <cfRule type="expression" dxfId="1076" priority="526">
      <formula>B283&lt;15</formula>
    </cfRule>
  </conditionalFormatting>
  <conditionalFormatting sqref="C286 E286 G286 I286 K286 M286 O286">
    <cfRule type="expression" dxfId="1075" priority="527">
      <formula>B283&lt;15</formula>
    </cfRule>
  </conditionalFormatting>
  <conditionalFormatting sqref="B287 D287 F287 H287 J287 L287 N287">
    <cfRule type="expression" dxfId="1074" priority="528">
      <formula>B283&lt;15</formula>
    </cfRule>
  </conditionalFormatting>
  <conditionalFormatting sqref="C287 E287 G287 I287 K287 M287 O287">
    <cfRule type="expression" dxfId="1073" priority="529">
      <formula>B283&lt;15</formula>
    </cfRule>
  </conditionalFormatting>
  <conditionalFormatting sqref="B284 D284 F284 H284 J284 L284 N284">
    <cfRule type="expression" dxfId="1072" priority="522">
      <formula>B283&lt;15</formula>
    </cfRule>
  </conditionalFormatting>
  <conditionalFormatting sqref="C284 E284 G284 I284 K284 M284 O284">
    <cfRule type="expression" dxfId="1071" priority="523">
      <formula>B283&lt;15</formula>
    </cfRule>
  </conditionalFormatting>
  <conditionalFormatting sqref="B299 D299 F299 H299 J299 L299 N299">
    <cfRule type="expression" dxfId="1070" priority="518">
      <formula>B292&lt;15</formula>
    </cfRule>
  </conditionalFormatting>
  <conditionalFormatting sqref="F294 H294 J294 L294 N294">
    <cfRule type="expression" dxfId="1069" priority="508">
      <formula>F292&lt;15</formula>
    </cfRule>
  </conditionalFormatting>
  <conditionalFormatting sqref="G294 I294 K294 M294 O294">
    <cfRule type="expression" dxfId="1068" priority="509">
      <formula>F292&lt;15</formula>
    </cfRule>
  </conditionalFormatting>
  <conditionalFormatting sqref="C299 E299 G299 I299 K299 M299 O299">
    <cfRule type="expression" dxfId="1067" priority="519">
      <formula>B292&lt;15</formula>
    </cfRule>
  </conditionalFormatting>
  <conditionalFormatting sqref="P299">
    <cfRule type="expression" dxfId="1066" priority="520">
      <formula>N292&lt;15</formula>
    </cfRule>
  </conditionalFormatting>
  <conditionalFormatting sqref="F295 H295 J295 L295 N295">
    <cfRule type="expression" dxfId="1065" priority="510">
      <formula>F292&lt;15</formula>
    </cfRule>
  </conditionalFormatting>
  <conditionalFormatting sqref="G295 I295 K295 M295 O295">
    <cfRule type="expression" dxfId="1064" priority="511">
      <formula>F292&lt;15</formula>
    </cfRule>
  </conditionalFormatting>
  <conditionalFormatting sqref="F296 H296 J296 L296 N296">
    <cfRule type="expression" dxfId="1063" priority="512">
      <formula>F292&lt;15</formula>
    </cfRule>
  </conditionalFormatting>
  <conditionalFormatting sqref="G296 I296 K296 M296 O296">
    <cfRule type="expression" dxfId="1062" priority="513">
      <formula>F292&lt;15</formula>
    </cfRule>
  </conditionalFormatting>
  <conditionalFormatting sqref="F297 H297 J297 L297 N297">
    <cfRule type="expression" dxfId="1061" priority="514">
      <formula>F292&lt;15</formula>
    </cfRule>
  </conditionalFormatting>
  <conditionalFormatting sqref="G297 I297 K297 M297 O297">
    <cfRule type="expression" dxfId="1060" priority="515">
      <formula>F292&lt;15</formula>
    </cfRule>
  </conditionalFormatting>
  <conditionalFormatting sqref="F298 H298 J298 L298 N298">
    <cfRule type="expression" dxfId="1059" priority="516">
      <formula>F292&lt;15</formula>
    </cfRule>
  </conditionalFormatting>
  <conditionalFormatting sqref="G298 I298 K298 M298 O298">
    <cfRule type="expression" dxfId="1058" priority="517">
      <formula>F297&lt;15</formula>
    </cfRule>
  </conditionalFormatting>
  <conditionalFormatting sqref="B293 D293 F293 H293 J293 L293 N293">
    <cfRule type="expression" dxfId="1057" priority="506">
      <formula>B292&lt;15</formula>
    </cfRule>
  </conditionalFormatting>
  <conditionalFormatting sqref="C293 E293 G293 I293 K293 M293 O293">
    <cfRule type="expression" dxfId="1056" priority="507">
      <formula>B292&lt;15</formula>
    </cfRule>
  </conditionalFormatting>
  <conditionalFormatting sqref="B314 D314 F314 H314 J314 L314 N314">
    <cfRule type="expression" dxfId="1055" priority="502">
      <formula>B307&gt;15</formula>
    </cfRule>
  </conditionalFormatting>
  <conditionalFormatting sqref="B309 D309 F309 H309 J309 L309 N309">
    <cfRule type="expression" dxfId="1054" priority="492">
      <formula>B307&gt;15</formula>
    </cfRule>
  </conditionalFormatting>
  <conditionalFormatting sqref="C309 E309 G309 I309 K309 M309 O309">
    <cfRule type="expression" dxfId="1053" priority="493">
      <formula>B307&gt;15</formula>
    </cfRule>
  </conditionalFormatting>
  <conditionalFormatting sqref="C314 E314 G314 I314 K314 M314 O314">
    <cfRule type="expression" dxfId="1052" priority="503">
      <formula>B307&gt;15</formula>
    </cfRule>
  </conditionalFormatting>
  <conditionalFormatting sqref="P314">
    <cfRule type="expression" dxfId="1051" priority="504">
      <formula>N307&gt;15</formula>
    </cfRule>
  </conditionalFormatting>
  <conditionalFormatting sqref="B310 D310 F310 H310 J310 L310 N310">
    <cfRule type="expression" dxfId="1050" priority="494">
      <formula>B307&gt;15</formula>
    </cfRule>
  </conditionalFormatting>
  <conditionalFormatting sqref="C310 E310 G310 I310 K310 M310 O310">
    <cfRule type="expression" dxfId="1049" priority="495">
      <formula>B307&gt;15</formula>
    </cfRule>
  </conditionalFormatting>
  <conditionalFormatting sqref="B311 D311 F311 H311 J311 L311 N311">
    <cfRule type="expression" dxfId="1048" priority="496">
      <formula>B307&gt;15</formula>
    </cfRule>
  </conditionalFormatting>
  <conditionalFormatting sqref="C311 E311 G311 I311 K311 M311 O311">
    <cfRule type="expression" dxfId="1047" priority="497">
      <formula>B307&gt;15</formula>
    </cfRule>
  </conditionalFormatting>
  <conditionalFormatting sqref="B308 D308 F308 H308 J308 L308 N308">
    <cfRule type="expression" dxfId="1046" priority="490">
      <formula>B307&gt;15</formula>
    </cfRule>
  </conditionalFormatting>
  <conditionalFormatting sqref="C308 E308 G308 I308 K308 M308 O308">
    <cfRule type="expression" dxfId="1045" priority="491">
      <formula>B307&gt;15</formula>
    </cfRule>
  </conditionalFormatting>
  <conditionalFormatting sqref="B350 D350 F350 H350 J350 L350 N350">
    <cfRule type="expression" dxfId="1044" priority="486">
      <formula>B343&lt;15</formula>
    </cfRule>
  </conditionalFormatting>
  <conditionalFormatting sqref="B345 D345 F345 J345 L345 N345">
    <cfRule type="expression" dxfId="1043" priority="476">
      <formula>B343&lt;15</formula>
    </cfRule>
  </conditionalFormatting>
  <conditionalFormatting sqref="C345 E345 G345 K345 M345 O345">
    <cfRule type="expression" dxfId="1042" priority="477">
      <formula>B343&lt;15</formula>
    </cfRule>
  </conditionalFormatting>
  <conditionalFormatting sqref="C350 E350 G350 I350 K350 M350 O350">
    <cfRule type="expression" dxfId="1041" priority="487">
      <formula>B343&lt;15</formula>
    </cfRule>
  </conditionalFormatting>
  <conditionalFormatting sqref="P350">
    <cfRule type="expression" dxfId="1040" priority="488">
      <formula>N343&lt;15</formula>
    </cfRule>
  </conditionalFormatting>
  <conditionalFormatting sqref="B346 D346 F346 J346 L346 N346">
    <cfRule type="expression" dxfId="1039" priority="478">
      <formula>B343&lt;15</formula>
    </cfRule>
  </conditionalFormatting>
  <conditionalFormatting sqref="C346 E346 G346 K346 M346 O346">
    <cfRule type="expression" dxfId="1038" priority="479">
      <formula>B343&lt;15</formula>
    </cfRule>
  </conditionalFormatting>
  <conditionalFormatting sqref="B347 D347 F347 J347 L347 N347">
    <cfRule type="expression" dxfId="1037" priority="480">
      <formula>B343&lt;15</formula>
    </cfRule>
  </conditionalFormatting>
  <conditionalFormatting sqref="C347 E347 G347 K347 M347 O347">
    <cfRule type="expression" dxfId="1036" priority="481">
      <formula>B343&lt;15</formula>
    </cfRule>
  </conditionalFormatting>
  <conditionalFormatting sqref="F348 J348 L348 N348">
    <cfRule type="expression" dxfId="1035" priority="482">
      <formula>F343&lt;15</formula>
    </cfRule>
  </conditionalFormatting>
  <conditionalFormatting sqref="G348 K348 M348 O348">
    <cfRule type="expression" dxfId="1034" priority="483">
      <formula>F343&lt;15</formula>
    </cfRule>
  </conditionalFormatting>
  <conditionalFormatting sqref="F349 J349 L349 N349">
    <cfRule type="expression" dxfId="1033" priority="484">
      <formula>F343&lt;15</formula>
    </cfRule>
  </conditionalFormatting>
  <conditionalFormatting sqref="G349 K349 M349 O349">
    <cfRule type="expression" dxfId="1032" priority="485">
      <formula>F348&lt;15</formula>
    </cfRule>
  </conditionalFormatting>
  <conditionalFormatting sqref="B344 D344 F344 H344 J344 L344 N344">
    <cfRule type="expression" dxfId="1031" priority="474">
      <formula>B343&lt;15</formula>
    </cfRule>
  </conditionalFormatting>
  <conditionalFormatting sqref="C344 E344 G344 I344 K344 M344 O344">
    <cfRule type="expression" dxfId="1030" priority="475">
      <formula>B343&lt;15</formula>
    </cfRule>
  </conditionalFormatting>
  <conditionalFormatting sqref="B359 D359 F359 H359 J359 L359 N359">
    <cfRule type="expression" dxfId="1029" priority="470">
      <formula>B352&lt;15</formula>
    </cfRule>
  </conditionalFormatting>
  <conditionalFormatting sqref="B354 D354 F354 H354 J354 L354 N354">
    <cfRule type="expression" dxfId="1028" priority="460">
      <formula>B352&lt;15</formula>
    </cfRule>
  </conditionalFormatting>
  <conditionalFormatting sqref="C354 E354 G354 I354 K354 M354 O354">
    <cfRule type="expression" dxfId="1027" priority="461">
      <formula>B352&lt;15</formula>
    </cfRule>
  </conditionalFormatting>
  <conditionalFormatting sqref="C359 E359 G359 I359 K359 M359 O359">
    <cfRule type="expression" dxfId="1026" priority="471">
      <formula>B352&lt;15</formula>
    </cfRule>
  </conditionalFormatting>
  <conditionalFormatting sqref="P359">
    <cfRule type="expression" dxfId="1025" priority="472">
      <formula>N352&lt;15</formula>
    </cfRule>
  </conditionalFormatting>
  <conditionalFormatting sqref="B355 D355 F355 H355 J355 L355 N355">
    <cfRule type="expression" dxfId="1024" priority="462">
      <formula>B352&lt;15</formula>
    </cfRule>
  </conditionalFormatting>
  <conditionalFormatting sqref="C355 E355 G355 I355 K355 M355 O355">
    <cfRule type="expression" dxfId="1023" priority="463">
      <formula>B352&lt;15</formula>
    </cfRule>
  </conditionalFormatting>
  <conditionalFormatting sqref="B356 D356 F356 H356 J356 L356 N356">
    <cfRule type="expression" dxfId="1022" priority="464">
      <formula>B352&lt;15</formula>
    </cfRule>
  </conditionalFormatting>
  <conditionalFormatting sqref="C356 E356 G356 I356 K356 M356 O356">
    <cfRule type="expression" dxfId="1021" priority="465">
      <formula>B352&lt;15</formula>
    </cfRule>
  </conditionalFormatting>
  <conditionalFormatting sqref="B357 D357 F357 H357 J357 L357 N357">
    <cfRule type="expression" dxfId="1020" priority="466">
      <formula>B352&lt;15</formula>
    </cfRule>
  </conditionalFormatting>
  <conditionalFormatting sqref="C357 E357 G357 I357 K357 M357 O357">
    <cfRule type="expression" dxfId="1019" priority="467">
      <formula>B352&lt;15</formula>
    </cfRule>
  </conditionalFormatting>
  <conditionalFormatting sqref="B358 D358 F358 H358 J358 L358 N358">
    <cfRule type="expression" dxfId="1018" priority="468">
      <formula>B352&lt;15</formula>
    </cfRule>
  </conditionalFormatting>
  <conditionalFormatting sqref="C358 E358 G358 I358 K358 M358 O358">
    <cfRule type="expression" dxfId="1017" priority="469">
      <formula>B357&lt;15</formula>
    </cfRule>
  </conditionalFormatting>
  <conditionalFormatting sqref="B353 D353 F353 H353 J353 L353 N353">
    <cfRule type="expression" dxfId="1016" priority="458">
      <formula>B352&lt;15</formula>
    </cfRule>
  </conditionalFormatting>
  <conditionalFormatting sqref="C353 E353 G353 I353 K353 M353 O353">
    <cfRule type="expression" dxfId="1015" priority="459">
      <formula>B352&lt;15</formula>
    </cfRule>
  </conditionalFormatting>
  <conditionalFormatting sqref="B374 D374 F374 H374 J374 L374 N374">
    <cfRule type="expression" dxfId="1014" priority="454">
      <formula>B367&gt;15</formula>
    </cfRule>
  </conditionalFormatting>
  <conditionalFormatting sqref="B369 D369 F369 H369 J369 L369 N369">
    <cfRule type="expression" dxfId="1013" priority="444">
      <formula>B367&gt;15</formula>
    </cfRule>
  </conditionalFormatting>
  <conditionalFormatting sqref="C369 E369 G369 I369 K369 M369 O369">
    <cfRule type="expression" dxfId="1012" priority="445">
      <formula>B367&gt;15</formula>
    </cfRule>
  </conditionalFormatting>
  <conditionalFormatting sqref="C374 E374 G374 I374 K374 M374 O374">
    <cfRule type="expression" dxfId="1011" priority="455">
      <formula>B367&gt;15</formula>
    </cfRule>
  </conditionalFormatting>
  <conditionalFormatting sqref="P374">
    <cfRule type="expression" dxfId="1010" priority="456">
      <formula>N367&gt;15</formula>
    </cfRule>
  </conditionalFormatting>
  <conditionalFormatting sqref="B370 D370 F370 H370 J370 L370 N370">
    <cfRule type="expression" dxfId="1009" priority="446">
      <formula>B367&gt;15</formula>
    </cfRule>
  </conditionalFormatting>
  <conditionalFormatting sqref="C370 E370 G370 I370 K370 M370 O370">
    <cfRule type="expression" dxfId="1008" priority="447">
      <formula>B367&gt;15</formula>
    </cfRule>
  </conditionalFormatting>
  <conditionalFormatting sqref="B371 D371 F371 H371 J371 L371 N371">
    <cfRule type="expression" dxfId="1007" priority="448">
      <formula>B367&gt;15</formula>
    </cfRule>
  </conditionalFormatting>
  <conditionalFormatting sqref="C371 E371 G371 I371 K371 M371 O371">
    <cfRule type="expression" dxfId="1006" priority="449">
      <formula>B367&gt;15</formula>
    </cfRule>
  </conditionalFormatting>
  <conditionalFormatting sqref="B372 D372">
    <cfRule type="expression" dxfId="1005" priority="450">
      <formula>B367&gt;15</formula>
    </cfRule>
  </conditionalFormatting>
  <conditionalFormatting sqref="C372 E372">
    <cfRule type="expression" dxfId="1004" priority="451">
      <formula>B367&gt;15</formula>
    </cfRule>
  </conditionalFormatting>
  <conditionalFormatting sqref="B373 D373">
    <cfRule type="expression" dxfId="1003" priority="452">
      <formula>B367&gt;15</formula>
    </cfRule>
  </conditionalFormatting>
  <conditionalFormatting sqref="C373 E373">
    <cfRule type="expression" dxfId="1002" priority="453">
      <formula>B372&gt;15</formula>
    </cfRule>
  </conditionalFormatting>
  <conditionalFormatting sqref="B368 D368 F368 H368 J368 L368 N368">
    <cfRule type="expression" dxfId="1001" priority="442">
      <formula>B367&gt;15</formula>
    </cfRule>
  </conditionalFormatting>
  <conditionalFormatting sqref="C368 E368 G368 I368 K368 M368 O368">
    <cfRule type="expression" dxfId="1000" priority="443">
      <formula>B367&gt;15</formula>
    </cfRule>
  </conditionalFormatting>
  <conditionalFormatting sqref="B410 D410 F410 H410 J410 L410 N410">
    <cfRule type="expression" dxfId="999" priority="438">
      <formula>B403&lt;15</formula>
    </cfRule>
  </conditionalFormatting>
  <conditionalFormatting sqref="B405 D405 F405 H405 J405 L405">
    <cfRule type="expression" dxfId="998" priority="428">
      <formula>B403&lt;15</formula>
    </cfRule>
  </conditionalFormatting>
  <conditionalFormatting sqref="C405 E405 G405 I405 K405 M405">
    <cfRule type="expression" dxfId="997" priority="429">
      <formula>B403&lt;15</formula>
    </cfRule>
  </conditionalFormatting>
  <conditionalFormatting sqref="C410 E410 G410 I410 K410 M410 O410">
    <cfRule type="expression" dxfId="996" priority="439">
      <formula>B403&lt;15</formula>
    </cfRule>
  </conditionalFormatting>
  <conditionalFormatting sqref="P410">
    <cfRule type="expression" dxfId="995" priority="440">
      <formula>N403&lt;15</formula>
    </cfRule>
  </conditionalFormatting>
  <conditionalFormatting sqref="B406 D406 F406 H406 J406 L406">
    <cfRule type="expression" dxfId="994" priority="430">
      <formula>B403&lt;15</formula>
    </cfRule>
  </conditionalFormatting>
  <conditionalFormatting sqref="C406 E406 G406 I406 K406 M406">
    <cfRule type="expression" dxfId="993" priority="431">
      <formula>B403&lt;15</formula>
    </cfRule>
  </conditionalFormatting>
  <conditionalFormatting sqref="B407 D407 F407 H407 J407 L407">
    <cfRule type="expression" dxfId="992" priority="432">
      <formula>B403&lt;15</formula>
    </cfRule>
  </conditionalFormatting>
  <conditionalFormatting sqref="C407 E407 G407 I407 K407 M407">
    <cfRule type="expression" dxfId="991" priority="433">
      <formula>B403&lt;15</formula>
    </cfRule>
  </conditionalFormatting>
  <conditionalFormatting sqref="B404 D404 F404 H404 J404 L404 N404">
    <cfRule type="expression" dxfId="990" priority="426">
      <formula>B403&lt;15</formula>
    </cfRule>
  </conditionalFormatting>
  <conditionalFormatting sqref="C404 E404 G404 I404 K404 M404 O404">
    <cfRule type="expression" dxfId="989" priority="427">
      <formula>B403&lt;15</formula>
    </cfRule>
  </conditionalFormatting>
  <conditionalFormatting sqref="B419 D419 F419 H419 J419 L419 N419">
    <cfRule type="expression" dxfId="988" priority="422">
      <formula>B412&lt;15</formula>
    </cfRule>
  </conditionalFormatting>
  <conditionalFormatting sqref="B414 D414 F414 H414 J414 L414 N414">
    <cfRule type="expression" dxfId="987" priority="412">
      <formula>B412&lt;15</formula>
    </cfRule>
  </conditionalFormatting>
  <conditionalFormatting sqref="C414 E414 G414 I414 K414 M414 O414">
    <cfRule type="expression" dxfId="986" priority="413">
      <formula>B412&lt;15</formula>
    </cfRule>
  </conditionalFormatting>
  <conditionalFormatting sqref="C419 E419 G419 I419 K419 M419 O419">
    <cfRule type="expression" dxfId="985" priority="423">
      <formula>B412&lt;15</formula>
    </cfRule>
  </conditionalFormatting>
  <conditionalFormatting sqref="P419">
    <cfRule type="expression" dxfId="984" priority="424">
      <formula>N412&lt;15</formula>
    </cfRule>
  </conditionalFormatting>
  <conditionalFormatting sqref="B415 D415 F415 H415 J415 L415 N415">
    <cfRule type="expression" dxfId="983" priority="414">
      <formula>B412&lt;15</formula>
    </cfRule>
  </conditionalFormatting>
  <conditionalFormatting sqref="C415 E415 G415 I415 K415 M415 O415">
    <cfRule type="expression" dxfId="982" priority="415">
      <formula>B412&lt;15</formula>
    </cfRule>
  </conditionalFormatting>
  <conditionalFormatting sqref="B416 D416 F416 H416 J416 L416 N416">
    <cfRule type="expression" dxfId="981" priority="416">
      <formula>B412&lt;15</formula>
    </cfRule>
  </conditionalFormatting>
  <conditionalFormatting sqref="C416 E416 G416 I416 K416 M416 O416">
    <cfRule type="expression" dxfId="980" priority="417">
      <formula>B412&lt;15</formula>
    </cfRule>
  </conditionalFormatting>
  <conditionalFormatting sqref="B417 D417 F417 H417 J417 L417 N417">
    <cfRule type="expression" dxfId="979" priority="418">
      <formula>B412&lt;15</formula>
    </cfRule>
  </conditionalFormatting>
  <conditionalFormatting sqref="C417 E417 G417 I417 K417 M417 O417">
    <cfRule type="expression" dxfId="978" priority="419">
      <formula>B412&lt;15</formula>
    </cfRule>
  </conditionalFormatting>
  <conditionalFormatting sqref="B418 D418 F418 H418 J418 L418 N418">
    <cfRule type="expression" dxfId="977" priority="420">
      <formula>B412&lt;15</formula>
    </cfRule>
  </conditionalFormatting>
  <conditionalFormatting sqref="C418 E418 G418 I418 K418 M418 O418">
    <cfRule type="expression" dxfId="976" priority="421">
      <formula>B417&lt;15</formula>
    </cfRule>
  </conditionalFormatting>
  <conditionalFormatting sqref="B413 D413 F413 H413 J413 L413 N413">
    <cfRule type="expression" dxfId="975" priority="410">
      <formula>B412&lt;15</formula>
    </cfRule>
  </conditionalFormatting>
  <conditionalFormatting sqref="C413 E413 G413 I413 K413 M413 O413">
    <cfRule type="expression" dxfId="974" priority="411">
      <formula>B412&lt;15</formula>
    </cfRule>
  </conditionalFormatting>
  <conditionalFormatting sqref="B434 D434 F434 H434 J434 L434 N434">
    <cfRule type="expression" dxfId="973" priority="406">
      <formula>B427&gt;15</formula>
    </cfRule>
  </conditionalFormatting>
  <conditionalFormatting sqref="C434 E434 G434 I434 K434 M434 O434">
    <cfRule type="expression" dxfId="972" priority="407">
      <formula>B427&gt;15</formula>
    </cfRule>
  </conditionalFormatting>
  <conditionalFormatting sqref="P434">
    <cfRule type="expression" dxfId="971" priority="408">
      <formula>N427&gt;15</formula>
    </cfRule>
  </conditionalFormatting>
  <conditionalFormatting sqref="B428 D428 F428 H428 J428 L428 N428">
    <cfRule type="expression" dxfId="970" priority="394">
      <formula>B427&gt;15</formula>
    </cfRule>
  </conditionalFormatting>
  <conditionalFormatting sqref="C428 E428 G428 I428 K428 M428 O428">
    <cfRule type="expression" dxfId="969" priority="395">
      <formula>B427&gt;15</formula>
    </cfRule>
  </conditionalFormatting>
  <conditionalFormatting sqref="B470 D470 F470 H470 J470 L470 N470">
    <cfRule type="expression" dxfId="968" priority="390">
      <formula>B463&lt;15</formula>
    </cfRule>
  </conditionalFormatting>
  <conditionalFormatting sqref="B465 D465 H465 J465 L465 N465">
    <cfRule type="expression" dxfId="967" priority="380">
      <formula>B463&lt;15</formula>
    </cfRule>
  </conditionalFormatting>
  <conditionalFormatting sqref="C465 E465 I465 K465 M465 O465">
    <cfRule type="expression" dxfId="966" priority="381">
      <formula>B463&lt;15</formula>
    </cfRule>
  </conditionalFormatting>
  <conditionalFormatting sqref="C470 E470 G470 I470 K470 M470 O470">
    <cfRule type="expression" dxfId="965" priority="391">
      <formula>B463&lt;15</formula>
    </cfRule>
  </conditionalFormatting>
  <conditionalFormatting sqref="P470">
    <cfRule type="expression" dxfId="964" priority="392">
      <formula>N463&lt;15</formula>
    </cfRule>
  </conditionalFormatting>
  <conditionalFormatting sqref="B466 D466 H466 J466 L466 N466">
    <cfRule type="expression" dxfId="963" priority="382">
      <formula>B463&lt;15</formula>
    </cfRule>
  </conditionalFormatting>
  <conditionalFormatting sqref="C466 E466 I466 K466 M466 O466">
    <cfRule type="expression" dxfId="962" priority="383">
      <formula>B463&lt;15</formula>
    </cfRule>
  </conditionalFormatting>
  <conditionalFormatting sqref="B467 D467 H467 J467 L467 N467">
    <cfRule type="expression" dxfId="961" priority="384">
      <formula>B463&lt;15</formula>
    </cfRule>
  </conditionalFormatting>
  <conditionalFormatting sqref="C467 E467 I467 K467 M467 O467">
    <cfRule type="expression" dxfId="960" priority="385">
      <formula>B463&lt;15</formula>
    </cfRule>
  </conditionalFormatting>
  <conditionalFormatting sqref="B464 D464 F464 H464 J464 L464 N464">
    <cfRule type="expression" dxfId="959" priority="378">
      <formula>B463&lt;15</formula>
    </cfRule>
  </conditionalFormatting>
  <conditionalFormatting sqref="C464 E464 G464 I464 K464 M464 O464">
    <cfRule type="expression" dxfId="958" priority="379">
      <formula>B463&lt;15</formula>
    </cfRule>
  </conditionalFormatting>
  <conditionalFormatting sqref="B479 D479 F479 H479 J479 L479 N479">
    <cfRule type="expression" dxfId="957" priority="374">
      <formula>B472&lt;15</formula>
    </cfRule>
  </conditionalFormatting>
  <conditionalFormatting sqref="B474 D474 F474 H474 J474 L474 N474">
    <cfRule type="expression" dxfId="956" priority="364">
      <formula>B472&lt;15</formula>
    </cfRule>
  </conditionalFormatting>
  <conditionalFormatting sqref="C474 E474 G474 I474 K474 M474 O474">
    <cfRule type="expression" dxfId="955" priority="365">
      <formula>B472&lt;15</formula>
    </cfRule>
  </conditionalFormatting>
  <conditionalFormatting sqref="C479 E479 G479 I479 K479 M479 O479">
    <cfRule type="expression" dxfId="954" priority="375">
      <formula>B472&lt;15</formula>
    </cfRule>
  </conditionalFormatting>
  <conditionalFormatting sqref="P479">
    <cfRule type="expression" dxfId="953" priority="376">
      <formula>N472&lt;15</formula>
    </cfRule>
  </conditionalFormatting>
  <conditionalFormatting sqref="B475 D475 F475 H475 J475 L475 N475">
    <cfRule type="expression" dxfId="952" priority="366">
      <formula>B472&lt;15</formula>
    </cfRule>
  </conditionalFormatting>
  <conditionalFormatting sqref="C475 E475 G475 I475 K475 M475 O475">
    <cfRule type="expression" dxfId="951" priority="367">
      <formula>B472&lt;15</formula>
    </cfRule>
  </conditionalFormatting>
  <conditionalFormatting sqref="B476 D476 F476 H476 J476 L476 N476">
    <cfRule type="expression" dxfId="950" priority="368">
      <formula>B472&lt;15</formula>
    </cfRule>
  </conditionalFormatting>
  <conditionalFormatting sqref="C476 E476 G476 I476 K476 M476 O476">
    <cfRule type="expression" dxfId="949" priority="369">
      <formula>B472&lt;15</formula>
    </cfRule>
  </conditionalFormatting>
  <conditionalFormatting sqref="D477 F477 H477 J477 L477 N477">
    <cfRule type="expression" dxfId="948" priority="370">
      <formula>D472&lt;15</formula>
    </cfRule>
  </conditionalFormatting>
  <conditionalFormatting sqref="E477 G477 I477 K477 M477 O477">
    <cfRule type="expression" dxfId="947" priority="371">
      <formula>D472&lt;15</formula>
    </cfRule>
  </conditionalFormatting>
  <conditionalFormatting sqref="D478 F478 H478 J478 L478 N478">
    <cfRule type="expression" dxfId="946" priority="372">
      <formula>D472&lt;15</formula>
    </cfRule>
  </conditionalFormatting>
  <conditionalFormatting sqref="E478 G478 I478 K478 M478 O478">
    <cfRule type="expression" dxfId="945" priority="373">
      <formula>D477&lt;15</formula>
    </cfRule>
  </conditionalFormatting>
  <conditionalFormatting sqref="B473 D473 F473 H473 J473 L473 N473">
    <cfRule type="expression" dxfId="944" priority="362">
      <formula>B472&lt;15</formula>
    </cfRule>
  </conditionalFormatting>
  <conditionalFormatting sqref="C473 E473 G473 I473 K473 M473 O473">
    <cfRule type="expression" dxfId="943" priority="363">
      <formula>B472&lt;15</formula>
    </cfRule>
  </conditionalFormatting>
  <conditionalFormatting sqref="B494 D494 F494 H494 J494 L494 N494">
    <cfRule type="expression" dxfId="942" priority="358">
      <formula>B487&gt;15</formula>
    </cfRule>
  </conditionalFormatting>
  <conditionalFormatting sqref="B489 D489 F489 H489 J489 L489 N489">
    <cfRule type="expression" dxfId="941" priority="348">
      <formula>B487&gt;15</formula>
    </cfRule>
  </conditionalFormatting>
  <conditionalFormatting sqref="C489 E489 G489 I489 K489 M489 O489">
    <cfRule type="expression" dxfId="940" priority="349">
      <formula>B487&gt;15</formula>
    </cfRule>
  </conditionalFormatting>
  <conditionalFormatting sqref="C494 E494 G494 I494 K494 M494 O494">
    <cfRule type="expression" dxfId="939" priority="359">
      <formula>B487&gt;15</formula>
    </cfRule>
  </conditionalFormatting>
  <conditionalFormatting sqref="P494">
    <cfRule type="expression" dxfId="938" priority="360">
      <formula>N487&gt;15</formula>
    </cfRule>
  </conditionalFormatting>
  <conditionalFormatting sqref="B490 D490 F490 H490 J490 L490 N490">
    <cfRule type="expression" dxfId="937" priority="350">
      <formula>B487&gt;15</formula>
    </cfRule>
  </conditionalFormatting>
  <conditionalFormatting sqref="C490 E490 G490 I490 K490 M490 O490">
    <cfRule type="expression" dxfId="936" priority="351">
      <formula>B487&gt;15</formula>
    </cfRule>
  </conditionalFormatting>
  <conditionalFormatting sqref="B491 D491 F491 H491 J491 L491 N491">
    <cfRule type="expression" dxfId="935" priority="352">
      <formula>B487&gt;15</formula>
    </cfRule>
  </conditionalFormatting>
  <conditionalFormatting sqref="C491 E491 G491 I491 K491 M491 O491">
    <cfRule type="expression" dxfId="934" priority="353">
      <formula>B487&gt;15</formula>
    </cfRule>
  </conditionalFormatting>
  <conditionalFormatting sqref="B492">
    <cfRule type="expression" dxfId="933" priority="354">
      <formula>B487&gt;15</formula>
    </cfRule>
  </conditionalFormatting>
  <conditionalFormatting sqref="C492">
    <cfRule type="expression" dxfId="932" priority="355">
      <formula>B487&gt;15</formula>
    </cfRule>
  </conditionalFormatting>
  <conditionalFormatting sqref="B493">
    <cfRule type="expression" dxfId="931" priority="356">
      <formula>B487&gt;15</formula>
    </cfRule>
  </conditionalFormatting>
  <conditionalFormatting sqref="C493">
    <cfRule type="expression" dxfId="930" priority="357">
      <formula>B492&gt;15</formula>
    </cfRule>
  </conditionalFormatting>
  <conditionalFormatting sqref="B488 D488 F488 H488 J488 L488 N488">
    <cfRule type="expression" dxfId="929" priority="346">
      <formula>B487&gt;15</formula>
    </cfRule>
  </conditionalFormatting>
  <conditionalFormatting sqref="C488 E488 G488 I488 K488 M488 O488">
    <cfRule type="expression" dxfId="928" priority="347">
      <formula>B487&gt;15</formula>
    </cfRule>
  </conditionalFormatting>
  <conditionalFormatting sqref="B530 D530 F530 H530 J530 L530 N530">
    <cfRule type="expression" dxfId="927" priority="342">
      <formula>B523&lt;15</formula>
    </cfRule>
  </conditionalFormatting>
  <conditionalFormatting sqref="B525 D525 F525 H525 L525 N525">
    <cfRule type="expression" dxfId="926" priority="332">
      <formula>B523&lt;15</formula>
    </cfRule>
  </conditionalFormatting>
  <conditionalFormatting sqref="C525 E525 G525 I525 M525 O525">
    <cfRule type="expression" dxfId="925" priority="333">
      <formula>B523&lt;15</formula>
    </cfRule>
  </conditionalFormatting>
  <conditionalFormatting sqref="C530 E530 G530 I530 K530 M530 O530">
    <cfRule type="expression" dxfId="924" priority="343">
      <formula>B523&lt;15</formula>
    </cfRule>
  </conditionalFormatting>
  <conditionalFormatting sqref="P530">
    <cfRule type="expression" dxfId="923" priority="344">
      <formula>N523&lt;15</formula>
    </cfRule>
  </conditionalFormatting>
  <conditionalFormatting sqref="B526 D526 F526 H526 L526 N526">
    <cfRule type="expression" dxfId="922" priority="334">
      <formula>B523&lt;15</formula>
    </cfRule>
  </conditionalFormatting>
  <conditionalFormatting sqref="C526 E526 G526 I526 M526 O526">
    <cfRule type="expression" dxfId="921" priority="335">
      <formula>B523&lt;15</formula>
    </cfRule>
  </conditionalFormatting>
  <conditionalFormatting sqref="B527 D527 F527 H527 L527 N527">
    <cfRule type="expression" dxfId="920" priority="336">
      <formula>B523&lt;15</formula>
    </cfRule>
  </conditionalFormatting>
  <conditionalFormatting sqref="C527 E527 G527 I527 M527 O527">
    <cfRule type="expression" dxfId="919" priority="337">
      <formula>B523&lt;15</formula>
    </cfRule>
  </conditionalFormatting>
  <conditionalFormatting sqref="B524 D524 F524 H524 J524 L524 N524">
    <cfRule type="expression" dxfId="918" priority="330">
      <formula>B523&lt;15</formula>
    </cfRule>
  </conditionalFormatting>
  <conditionalFormatting sqref="C524 E524 G524 I524 K524 M524 O524">
    <cfRule type="expression" dxfId="917" priority="331">
      <formula>B523&lt;15</formula>
    </cfRule>
  </conditionalFormatting>
  <conditionalFormatting sqref="B539 D539 F539 H539 J539 L539 N539">
    <cfRule type="expression" dxfId="916" priority="326">
      <formula>B532&lt;15</formula>
    </cfRule>
  </conditionalFormatting>
  <conditionalFormatting sqref="B534 D534 F534 H534 J534 L534 N534">
    <cfRule type="expression" dxfId="915" priority="316">
      <formula>B532&lt;15</formula>
    </cfRule>
  </conditionalFormatting>
  <conditionalFormatting sqref="C534 E534 G534 I534 K534 M534 O534">
    <cfRule type="expression" dxfId="914" priority="317">
      <formula>B532&lt;15</formula>
    </cfRule>
  </conditionalFormatting>
  <conditionalFormatting sqref="C539 E539 G539 I539 K539 M539 O539">
    <cfRule type="expression" dxfId="913" priority="327">
      <formula>B532&lt;15</formula>
    </cfRule>
  </conditionalFormatting>
  <conditionalFormatting sqref="P539">
    <cfRule type="expression" dxfId="912" priority="328">
      <formula>N532&lt;15</formula>
    </cfRule>
  </conditionalFormatting>
  <conditionalFormatting sqref="B535 D535 F535 H535 J535 L535 N535">
    <cfRule type="expression" dxfId="911" priority="318">
      <formula>B532&lt;15</formula>
    </cfRule>
  </conditionalFormatting>
  <conditionalFormatting sqref="C535 E535 G535 I535 K535 M535 O535">
    <cfRule type="expression" dxfId="910" priority="319">
      <formula>B532&lt;15</formula>
    </cfRule>
  </conditionalFormatting>
  <conditionalFormatting sqref="B536 D536 F536 H536 J536 L536 N536">
    <cfRule type="expression" dxfId="909" priority="320">
      <formula>B532&lt;15</formula>
    </cfRule>
  </conditionalFormatting>
  <conditionalFormatting sqref="C536 E536 G536 I536 K536 M536 O536">
    <cfRule type="expression" dxfId="908" priority="321">
      <formula>B532&lt;15</formula>
    </cfRule>
  </conditionalFormatting>
  <conditionalFormatting sqref="B537 D537 F537 H537 J537 L537 N537">
    <cfRule type="expression" dxfId="907" priority="322">
      <formula>B532&lt;15</formula>
    </cfRule>
  </conditionalFormatting>
  <conditionalFormatting sqref="C537 E537 G537 I537 K537 M537 O537">
    <cfRule type="expression" dxfId="906" priority="323">
      <formula>B532&lt;15</formula>
    </cfRule>
  </conditionalFormatting>
  <conditionalFormatting sqref="B538 D538 F538 H538 J538 L538 N538">
    <cfRule type="expression" dxfId="905" priority="324">
      <formula>B532&lt;15</formula>
    </cfRule>
  </conditionalFormatting>
  <conditionalFormatting sqref="C538 E538 G538 I538 K538 M538 O538">
    <cfRule type="expression" dxfId="904" priority="325">
      <formula>B537&lt;15</formula>
    </cfRule>
  </conditionalFormatting>
  <conditionalFormatting sqref="B533 D533 F533 H533 J533 L533 N533">
    <cfRule type="expression" dxfId="903" priority="314">
      <formula>B532&lt;15</formula>
    </cfRule>
  </conditionalFormatting>
  <conditionalFormatting sqref="C533 E533 G533 I533 K533 M533 O533">
    <cfRule type="expression" dxfId="902" priority="315">
      <formula>B532&lt;15</formula>
    </cfRule>
  </conditionalFormatting>
  <conditionalFormatting sqref="B554 D554 F554 H554 J554 L554 N554">
    <cfRule type="expression" dxfId="901" priority="310">
      <formula>B547&gt;15</formula>
    </cfRule>
  </conditionalFormatting>
  <conditionalFormatting sqref="B549 D549 F549 H549 J549 L549 N549">
    <cfRule type="expression" dxfId="900" priority="300">
      <formula>B547&gt;15</formula>
    </cfRule>
  </conditionalFormatting>
  <conditionalFormatting sqref="C549 E549 G549 I549 K549 M549 O549">
    <cfRule type="expression" dxfId="899" priority="301">
      <formula>B547&gt;15</formula>
    </cfRule>
  </conditionalFormatting>
  <conditionalFormatting sqref="C554 E554 G554 I554 K554 M554 O554">
    <cfRule type="expression" dxfId="898" priority="311">
      <formula>B547&gt;15</formula>
    </cfRule>
  </conditionalFormatting>
  <conditionalFormatting sqref="P554">
    <cfRule type="expression" dxfId="897" priority="312">
      <formula>N547&gt;15</formula>
    </cfRule>
  </conditionalFormatting>
  <conditionalFormatting sqref="B550 D550 F550 H550 J550 L550 N550">
    <cfRule type="expression" dxfId="896" priority="302">
      <formula>B547&gt;15</formula>
    </cfRule>
  </conditionalFormatting>
  <conditionalFormatting sqref="C550 E550 G550 I550 K550 M550 O550">
    <cfRule type="expression" dxfId="895" priority="303">
      <formula>B547&gt;15</formula>
    </cfRule>
  </conditionalFormatting>
  <conditionalFormatting sqref="B551 D551 F551 H551 J551 L551 N551">
    <cfRule type="expression" dxfId="894" priority="304">
      <formula>B547&gt;15</formula>
    </cfRule>
  </conditionalFormatting>
  <conditionalFormatting sqref="C551 E551 G551 I551 K551 M551 O551">
    <cfRule type="expression" dxfId="893" priority="305">
      <formula>B547&gt;15</formula>
    </cfRule>
  </conditionalFormatting>
  <conditionalFormatting sqref="B552 D552 F552">
    <cfRule type="expression" dxfId="892" priority="306">
      <formula>B547&gt;15</formula>
    </cfRule>
  </conditionalFormatting>
  <conditionalFormatting sqref="C552 E552 G552">
    <cfRule type="expression" dxfId="891" priority="307">
      <formula>B547&gt;15</formula>
    </cfRule>
  </conditionalFormatting>
  <conditionalFormatting sqref="B553 D553 F553">
    <cfRule type="expression" dxfId="890" priority="308">
      <formula>B547&gt;15</formula>
    </cfRule>
  </conditionalFormatting>
  <conditionalFormatting sqref="C553 E553 G553">
    <cfRule type="expression" dxfId="889" priority="309">
      <formula>B552&gt;15</formula>
    </cfRule>
  </conditionalFormatting>
  <conditionalFormatting sqref="B548 D548 F548 H548 J548 L548 N548">
    <cfRule type="expression" dxfId="888" priority="298">
      <formula>B547&gt;15</formula>
    </cfRule>
  </conditionalFormatting>
  <conditionalFormatting sqref="C548 E548 G548 I548 K548 M548 O548">
    <cfRule type="expression" dxfId="887" priority="299">
      <formula>B547&gt;15</formula>
    </cfRule>
  </conditionalFormatting>
  <conditionalFormatting sqref="B590 D590 F590 H590 J590 L590 N590">
    <cfRule type="expression" dxfId="886" priority="294">
      <formula>B583&lt;15</formula>
    </cfRule>
  </conditionalFormatting>
  <conditionalFormatting sqref="B585 D585 F585 H585 J585 L585 N585">
    <cfRule type="expression" dxfId="885" priority="284">
      <formula>B583&lt;15</formula>
    </cfRule>
  </conditionalFormatting>
  <conditionalFormatting sqref="C585 E585 G585 I585 K585 M585 O585">
    <cfRule type="expression" dxfId="884" priority="285">
      <formula>B583&lt;15</formula>
    </cfRule>
  </conditionalFormatting>
  <conditionalFormatting sqref="C590 E590 G590 I590 K590 M590 O590">
    <cfRule type="expression" dxfId="883" priority="295">
      <formula>B583&lt;15</formula>
    </cfRule>
  </conditionalFormatting>
  <conditionalFormatting sqref="P590">
    <cfRule type="expression" dxfId="882" priority="296">
      <formula>N583&lt;15</formula>
    </cfRule>
  </conditionalFormatting>
  <conditionalFormatting sqref="B586 D586 F586 H586 J586 L586 N586">
    <cfRule type="expression" dxfId="881" priority="286">
      <formula>B583&lt;15</formula>
    </cfRule>
  </conditionalFormatting>
  <conditionalFormatting sqref="C586 E586 G586 I586 K586 M586 O586">
    <cfRule type="expression" dxfId="880" priority="287">
      <formula>B583&lt;15</formula>
    </cfRule>
  </conditionalFormatting>
  <conditionalFormatting sqref="B587 D587 F587 H587 J587 L587 N587">
    <cfRule type="expression" dxfId="879" priority="288">
      <formula>B583&lt;15</formula>
    </cfRule>
  </conditionalFormatting>
  <conditionalFormatting sqref="C587 E587 G587 I587 K587 M587 O587">
    <cfRule type="expression" dxfId="878" priority="289">
      <formula>B583&lt;15</formula>
    </cfRule>
  </conditionalFormatting>
  <conditionalFormatting sqref="B584 D584 F584 H584 J584 L584 N584">
    <cfRule type="expression" dxfId="877" priority="282">
      <formula>B583&lt;15</formula>
    </cfRule>
  </conditionalFormatting>
  <conditionalFormatting sqref="C584 E584 G584 I584 K584 M584 O584">
    <cfRule type="expression" dxfId="876" priority="283">
      <formula>B583&lt;15</formula>
    </cfRule>
  </conditionalFormatting>
  <conditionalFormatting sqref="B599 D599 F599 H599 J599 L599 N599">
    <cfRule type="expression" dxfId="875" priority="278">
      <formula>B592&lt;15</formula>
    </cfRule>
  </conditionalFormatting>
  <conditionalFormatting sqref="D594 F594 H594 J594 L594 N594">
    <cfRule type="expression" dxfId="874" priority="268">
      <formula>D592&lt;15</formula>
    </cfRule>
  </conditionalFormatting>
  <conditionalFormatting sqref="E594 G594 I594 K594 M594 O594">
    <cfRule type="expression" dxfId="873" priority="269">
      <formula>D592&lt;15</formula>
    </cfRule>
  </conditionalFormatting>
  <conditionalFormatting sqref="C599 E599 G599 I599 K599 M599 O599">
    <cfRule type="expression" dxfId="872" priority="279">
      <formula>B592&lt;15</formula>
    </cfRule>
  </conditionalFormatting>
  <conditionalFormatting sqref="P599">
    <cfRule type="expression" dxfId="871" priority="280">
      <formula>N592&lt;15</formula>
    </cfRule>
  </conditionalFormatting>
  <conditionalFormatting sqref="D595 F595 H595 J595 L595 N595">
    <cfRule type="expression" dxfId="870" priority="270">
      <formula>D592&lt;15</formula>
    </cfRule>
  </conditionalFormatting>
  <conditionalFormatting sqref="E595 G595 I595 K595 M595 O595">
    <cfRule type="expression" dxfId="869" priority="271">
      <formula>D592&lt;15</formula>
    </cfRule>
  </conditionalFormatting>
  <conditionalFormatting sqref="D596 F596 H596 J596 L596 N596">
    <cfRule type="expression" dxfId="868" priority="272">
      <formula>D592&lt;15</formula>
    </cfRule>
  </conditionalFormatting>
  <conditionalFormatting sqref="E596 G596 I596 K596 M596 O596">
    <cfRule type="expression" dxfId="867" priority="273">
      <formula>D592&lt;15</formula>
    </cfRule>
  </conditionalFormatting>
  <conditionalFormatting sqref="D597 F597 H597 J597 L597 N597">
    <cfRule type="expression" dxfId="866" priority="274">
      <formula>D592&lt;15</formula>
    </cfRule>
  </conditionalFormatting>
  <conditionalFormatting sqref="E597 G597 I597 K597 M597 O597">
    <cfRule type="expression" dxfId="865" priority="275">
      <formula>D592&lt;15</formula>
    </cfRule>
  </conditionalFormatting>
  <conditionalFormatting sqref="D598 F598 H598 J598 L598 N598">
    <cfRule type="expression" dxfId="864" priority="276">
      <formula>D592&lt;15</formula>
    </cfRule>
  </conditionalFormatting>
  <conditionalFormatting sqref="E598 G598 I598 K598 M598 O598">
    <cfRule type="expression" dxfId="863" priority="277">
      <formula>D597&lt;15</formula>
    </cfRule>
  </conditionalFormatting>
  <conditionalFormatting sqref="B593 D593 F593 H593 J593 L593 N593">
    <cfRule type="expression" dxfId="862" priority="266">
      <formula>B592&lt;15</formula>
    </cfRule>
  </conditionalFormatting>
  <conditionalFormatting sqref="C593 E593 G593 I593 K593 M593 O593">
    <cfRule type="expression" dxfId="861" priority="267">
      <formula>B592&lt;15</formula>
    </cfRule>
  </conditionalFormatting>
  <conditionalFormatting sqref="B614 D614 F614 H614 J614 L614 N614">
    <cfRule type="expression" dxfId="860" priority="262">
      <formula>B607&gt;15</formula>
    </cfRule>
  </conditionalFormatting>
  <conditionalFormatting sqref="B609 D609 F609 H609 J609 L609 N609">
    <cfRule type="expression" dxfId="859" priority="252">
      <formula>B607&gt;15</formula>
    </cfRule>
  </conditionalFormatting>
  <conditionalFormatting sqref="C609 E609 G609 I609 K609 M609 O609">
    <cfRule type="expression" dxfId="858" priority="253">
      <formula>B607&gt;15</formula>
    </cfRule>
  </conditionalFormatting>
  <conditionalFormatting sqref="C614 E614 G614 I614 K614 M614 O614">
    <cfRule type="expression" dxfId="857" priority="263">
      <formula>B607&gt;15</formula>
    </cfRule>
  </conditionalFormatting>
  <conditionalFormatting sqref="P614">
    <cfRule type="expression" dxfId="856" priority="264">
      <formula>N607&gt;15</formula>
    </cfRule>
  </conditionalFormatting>
  <conditionalFormatting sqref="B610 D610 F610 H610 J610 L610 N610">
    <cfRule type="expression" dxfId="855" priority="254">
      <formula>B607&gt;15</formula>
    </cfRule>
  </conditionalFormatting>
  <conditionalFormatting sqref="C610 E610 G610 I610 K610 M610 O610">
    <cfRule type="expression" dxfId="854" priority="255">
      <formula>B607&gt;15</formula>
    </cfRule>
  </conditionalFormatting>
  <conditionalFormatting sqref="B611 D611 F611 H611 J611 L611 N611">
    <cfRule type="expression" dxfId="853" priority="256">
      <formula>B607&gt;15</formula>
    </cfRule>
  </conditionalFormatting>
  <conditionalFormatting sqref="C611 E611 G611 I611 K611 M611 O611">
    <cfRule type="expression" dxfId="852" priority="257">
      <formula>B607&gt;15</formula>
    </cfRule>
  </conditionalFormatting>
  <conditionalFormatting sqref="B612 D612 F612 H612 J612 L612">
    <cfRule type="expression" dxfId="851" priority="258">
      <formula>B607&gt;15</formula>
    </cfRule>
  </conditionalFormatting>
  <conditionalFormatting sqref="C612 E612 G612 I612 K612 M612">
    <cfRule type="expression" dxfId="850" priority="259">
      <formula>B607&gt;15</formula>
    </cfRule>
  </conditionalFormatting>
  <conditionalFormatting sqref="B613 D613 F613 H613 J613 L613">
    <cfRule type="expression" dxfId="849" priority="260">
      <formula>B607&gt;15</formula>
    </cfRule>
  </conditionalFormatting>
  <conditionalFormatting sqref="C613 E613 G613 I613 K613 M613">
    <cfRule type="expression" dxfId="848" priority="261">
      <formula>B612&gt;15</formula>
    </cfRule>
  </conditionalFormatting>
  <conditionalFormatting sqref="B608 D608 F608 H608 J608 L608 N608">
    <cfRule type="expression" dxfId="847" priority="250">
      <formula>B607&gt;15</formula>
    </cfRule>
  </conditionalFormatting>
  <conditionalFormatting sqref="C608 E608 G608 I608 K608 M608 O608">
    <cfRule type="expression" dxfId="846" priority="251">
      <formula>B607&gt;15</formula>
    </cfRule>
  </conditionalFormatting>
  <conditionalFormatting sqref="B650 D650 F650 H650 J650 L650 N650">
    <cfRule type="expression" dxfId="845" priority="246">
      <formula>B643&lt;15</formula>
    </cfRule>
  </conditionalFormatting>
  <conditionalFormatting sqref="B645 D645 H645 J645 L645 N645">
    <cfRule type="expression" dxfId="844" priority="236">
      <formula>B643&lt;15</formula>
    </cfRule>
  </conditionalFormatting>
  <conditionalFormatting sqref="C645 E645 I645 K645 M645 O645">
    <cfRule type="expression" dxfId="843" priority="237">
      <formula>B643&lt;15</formula>
    </cfRule>
  </conditionalFormatting>
  <conditionalFormatting sqref="C650 E650 G650 I650 K650 M650 O650">
    <cfRule type="expression" dxfId="842" priority="247">
      <formula>B643&lt;15</formula>
    </cfRule>
  </conditionalFormatting>
  <conditionalFormatting sqref="P650">
    <cfRule type="expression" dxfId="841" priority="248">
      <formula>N643&lt;15</formula>
    </cfRule>
  </conditionalFormatting>
  <conditionalFormatting sqref="B646 D646 H646 J646 L646 N646">
    <cfRule type="expression" dxfId="840" priority="238">
      <formula>B643&lt;15</formula>
    </cfRule>
  </conditionalFormatting>
  <conditionalFormatting sqref="C646 E646 I646 K646 M646 O646">
    <cfRule type="expression" dxfId="839" priority="239">
      <formula>B643&lt;15</formula>
    </cfRule>
  </conditionalFormatting>
  <conditionalFormatting sqref="B647 D647 H647 J647 L647 N647">
    <cfRule type="expression" dxfId="838" priority="240">
      <formula>B643&lt;15</formula>
    </cfRule>
  </conditionalFormatting>
  <conditionalFormatting sqref="C647 E647 I647 K647 M647 O647">
    <cfRule type="expression" dxfId="837" priority="241">
      <formula>B643&lt;15</formula>
    </cfRule>
  </conditionalFormatting>
  <conditionalFormatting sqref="B644 D644 F644 H644 J644 L644 N644">
    <cfRule type="expression" dxfId="836" priority="234">
      <formula>B643&lt;15</formula>
    </cfRule>
  </conditionalFormatting>
  <conditionalFormatting sqref="C644 E644 G644 I644 K644 M644 O644">
    <cfRule type="expression" dxfId="835" priority="235">
      <formula>B643&lt;15</formula>
    </cfRule>
  </conditionalFormatting>
  <conditionalFormatting sqref="B659 D659 F659 H659 J659 L659 N659">
    <cfRule type="expression" dxfId="834" priority="230">
      <formula>B652&lt;15</formula>
    </cfRule>
  </conditionalFormatting>
  <conditionalFormatting sqref="B654 D654 F654 H654 J654 L654 N654">
    <cfRule type="expression" dxfId="833" priority="220">
      <formula>B652&lt;15</formula>
    </cfRule>
  </conditionalFormatting>
  <conditionalFormatting sqref="C654 E654 G654 I654 K654 M654 O654">
    <cfRule type="expression" dxfId="832" priority="221">
      <formula>B652&lt;15</formula>
    </cfRule>
  </conditionalFormatting>
  <conditionalFormatting sqref="C659 E659 G659 I659 K659 M659 O659">
    <cfRule type="expression" dxfId="831" priority="231">
      <formula>B652&lt;15</formula>
    </cfRule>
  </conditionalFormatting>
  <conditionalFormatting sqref="P659">
    <cfRule type="expression" dxfId="830" priority="232">
      <formula>N652&lt;15</formula>
    </cfRule>
  </conditionalFormatting>
  <conditionalFormatting sqref="B655 D655 F655 H655 J655 L655 N655">
    <cfRule type="expression" dxfId="829" priority="222">
      <formula>B652&lt;15</formula>
    </cfRule>
  </conditionalFormatting>
  <conditionalFormatting sqref="C655 E655 G655 I655 K655 M655 O655">
    <cfRule type="expression" dxfId="828" priority="223">
      <formula>B652&lt;15</formula>
    </cfRule>
  </conditionalFormatting>
  <conditionalFormatting sqref="B656 D656 F656 H656 J656 L656 N656">
    <cfRule type="expression" dxfId="827" priority="224">
      <formula>B652&lt;15</formula>
    </cfRule>
  </conditionalFormatting>
  <conditionalFormatting sqref="C656 E656 G656 I656 K656 M656 O656">
    <cfRule type="expression" dxfId="826" priority="225">
      <formula>B652&lt;15</formula>
    </cfRule>
  </conditionalFormatting>
  <conditionalFormatting sqref="D657 F657 H657 J657 L657 N657">
    <cfRule type="expression" dxfId="825" priority="226">
      <formula>D652&lt;15</formula>
    </cfRule>
  </conditionalFormatting>
  <conditionalFormatting sqref="E657 G657 I657 K657 M657 O657">
    <cfRule type="expression" dxfId="824" priority="227">
      <formula>D652&lt;15</formula>
    </cfRule>
  </conditionalFormatting>
  <conditionalFormatting sqref="D658 F658 H658 J658 L658 N658">
    <cfRule type="expression" dxfId="823" priority="228">
      <formula>D652&lt;15</formula>
    </cfRule>
  </conditionalFormatting>
  <conditionalFormatting sqref="E658 G658 I658 K658 M658 O658">
    <cfRule type="expression" dxfId="822" priority="229">
      <formula>D657&lt;15</formula>
    </cfRule>
  </conditionalFormatting>
  <conditionalFormatting sqref="B653 D653 F653 H653 J653 L653 N653">
    <cfRule type="expression" dxfId="821" priority="218">
      <formula>B652&lt;15</formula>
    </cfRule>
  </conditionalFormatting>
  <conditionalFormatting sqref="C653 E653 G653 I653 K653 M653 O653">
    <cfRule type="expression" dxfId="820" priority="219">
      <formula>B652&lt;15</formula>
    </cfRule>
  </conditionalFormatting>
  <conditionalFormatting sqref="B674 D674 F674 H674 J674 L674 N674">
    <cfRule type="expression" dxfId="819" priority="214">
      <formula>B667&gt;15</formula>
    </cfRule>
  </conditionalFormatting>
  <conditionalFormatting sqref="B669 D669 F669 H669 J669 L669 N669">
    <cfRule type="expression" dxfId="818" priority="204">
      <formula>B667&gt;15</formula>
    </cfRule>
  </conditionalFormatting>
  <conditionalFormatting sqref="C669 E669 G669 I669 K669 M669 O669">
    <cfRule type="expression" dxfId="817" priority="205">
      <formula>B667&gt;15</formula>
    </cfRule>
  </conditionalFormatting>
  <conditionalFormatting sqref="C674 E674 G674 I674 K674 M674 O674">
    <cfRule type="expression" dxfId="816" priority="215">
      <formula>B667&gt;15</formula>
    </cfRule>
  </conditionalFormatting>
  <conditionalFormatting sqref="P674">
    <cfRule type="expression" dxfId="815" priority="216">
      <formula>N667&gt;15</formula>
    </cfRule>
  </conditionalFormatting>
  <conditionalFormatting sqref="B670 D670 F670 H670 J670 L670 N670">
    <cfRule type="expression" dxfId="814" priority="206">
      <formula>B667&gt;15</formula>
    </cfRule>
  </conditionalFormatting>
  <conditionalFormatting sqref="C670 E670 G670 I670 K670 M670 O670">
    <cfRule type="expression" dxfId="813" priority="207">
      <formula>B667&gt;15</formula>
    </cfRule>
  </conditionalFormatting>
  <conditionalFormatting sqref="B671 D671 F671 H671 J671 L671 N671">
    <cfRule type="expression" dxfId="812" priority="208">
      <formula>B667&gt;15</formula>
    </cfRule>
  </conditionalFormatting>
  <conditionalFormatting sqref="C671 E671 G671 I671 K671 M671 O671">
    <cfRule type="expression" dxfId="811" priority="209">
      <formula>B667&gt;15</formula>
    </cfRule>
  </conditionalFormatting>
  <conditionalFormatting sqref="B672">
    <cfRule type="expression" dxfId="810" priority="210">
      <formula>B667&gt;15</formula>
    </cfRule>
  </conditionalFormatting>
  <conditionalFormatting sqref="C672">
    <cfRule type="expression" dxfId="809" priority="211">
      <formula>B667&gt;15</formula>
    </cfRule>
  </conditionalFormatting>
  <conditionalFormatting sqref="B673">
    <cfRule type="expression" dxfId="808" priority="212">
      <formula>B667&gt;15</formula>
    </cfRule>
  </conditionalFormatting>
  <conditionalFormatting sqref="C673">
    <cfRule type="expression" dxfId="807" priority="213">
      <formula>B672&gt;15</formula>
    </cfRule>
  </conditionalFormatting>
  <conditionalFormatting sqref="B668 D668 F668 H668 J668 L668 N668">
    <cfRule type="expression" dxfId="806" priority="202">
      <formula>B667&gt;15</formula>
    </cfRule>
  </conditionalFormatting>
  <conditionalFormatting sqref="C668 E668 G668 I668 K668 M668 O668">
    <cfRule type="expression" dxfId="805" priority="203">
      <formula>B667&gt;15</formula>
    </cfRule>
  </conditionalFormatting>
  <conditionalFormatting sqref="B710 D710 F710 H710 J710 L710 N710">
    <cfRule type="expression" dxfId="804" priority="198">
      <formula>B703&lt;15</formula>
    </cfRule>
  </conditionalFormatting>
  <conditionalFormatting sqref="B705 D705 F705 H705 J705 N705">
    <cfRule type="expression" dxfId="803" priority="188">
      <formula>B703&lt;15</formula>
    </cfRule>
  </conditionalFormatting>
  <conditionalFormatting sqref="C705 E705 G705 I705 K705 O705">
    <cfRule type="expression" dxfId="802" priority="189">
      <formula>B703&lt;15</formula>
    </cfRule>
  </conditionalFormatting>
  <conditionalFormatting sqref="C710 E710 G710 I710 K710 M710 O710">
    <cfRule type="expression" dxfId="801" priority="199">
      <formula>B703&lt;15</formula>
    </cfRule>
  </conditionalFormatting>
  <conditionalFormatting sqref="P710">
    <cfRule type="expression" dxfId="800" priority="200">
      <formula>N703&lt;15</formula>
    </cfRule>
  </conditionalFormatting>
  <conditionalFormatting sqref="B706 D706 F706 H706 J706 N706">
    <cfRule type="expression" dxfId="799" priority="190">
      <formula>B703&lt;15</formula>
    </cfRule>
  </conditionalFormatting>
  <conditionalFormatting sqref="C706 E706 G706 I706 K706 O706">
    <cfRule type="expression" dxfId="798" priority="191">
      <formula>B703&lt;15</formula>
    </cfRule>
  </conditionalFormatting>
  <conditionalFormatting sqref="B707 D707 F707 H707 J707 N707">
    <cfRule type="expression" dxfId="797" priority="192">
      <formula>B703&lt;15</formula>
    </cfRule>
  </conditionalFormatting>
  <conditionalFormatting sqref="C707 E707 G707 I707 K707 O707">
    <cfRule type="expression" dxfId="796" priority="193">
      <formula>B703&lt;15</formula>
    </cfRule>
  </conditionalFormatting>
  <conditionalFormatting sqref="B704 D704 F704 H704 J704 L704 N704">
    <cfRule type="expression" dxfId="795" priority="186">
      <formula>B703&lt;15</formula>
    </cfRule>
  </conditionalFormatting>
  <conditionalFormatting sqref="C704 E704 G704 I704 K704 M704 O704">
    <cfRule type="expression" dxfId="794" priority="187">
      <formula>B703&lt;15</formula>
    </cfRule>
  </conditionalFormatting>
  <conditionalFormatting sqref="B719 D719 F719 H719 J719 L719 N719">
    <cfRule type="expression" dxfId="793" priority="182">
      <formula>B712&lt;15</formula>
    </cfRule>
  </conditionalFormatting>
  <conditionalFormatting sqref="B714 D714 F714 H714 J714 L714 N714">
    <cfRule type="expression" dxfId="792" priority="172">
      <formula>B712&lt;15</formula>
    </cfRule>
  </conditionalFormatting>
  <conditionalFormatting sqref="C714 E714 G714 I714 K714 M714 O714">
    <cfRule type="expression" dxfId="791" priority="173">
      <formula>B712&lt;15</formula>
    </cfRule>
  </conditionalFormatting>
  <conditionalFormatting sqref="C719 E719 G719 I719 K719 M719 O719">
    <cfRule type="expression" dxfId="790" priority="183">
      <formula>B712&lt;15</formula>
    </cfRule>
  </conditionalFormatting>
  <conditionalFormatting sqref="P719">
    <cfRule type="expression" dxfId="789" priority="184">
      <formula>N712&lt;15</formula>
    </cfRule>
  </conditionalFormatting>
  <conditionalFormatting sqref="B715 D715 F715 H715 J715 L715 N715">
    <cfRule type="expression" dxfId="788" priority="174">
      <formula>B712&lt;15</formula>
    </cfRule>
  </conditionalFormatting>
  <conditionalFormatting sqref="C715 E715 G715 I715 K715 M715 O715">
    <cfRule type="expression" dxfId="787" priority="175">
      <formula>B712&lt;15</formula>
    </cfRule>
  </conditionalFormatting>
  <conditionalFormatting sqref="B716 D716 F716 H716 J716 L716 N716">
    <cfRule type="expression" dxfId="786" priority="176">
      <formula>B712&lt;15</formula>
    </cfRule>
  </conditionalFormatting>
  <conditionalFormatting sqref="C716 E716 G716 I716 K716 M716 O716">
    <cfRule type="expression" dxfId="785" priority="177">
      <formula>B712&lt;15</formula>
    </cfRule>
  </conditionalFormatting>
  <conditionalFormatting sqref="B717 D717 F717 H717 J717 L717 N717">
    <cfRule type="expression" dxfId="784" priority="178">
      <formula>B712&lt;15</formula>
    </cfRule>
  </conditionalFormatting>
  <conditionalFormatting sqref="C717 E717 G717 I717 K717 M717 O717">
    <cfRule type="expression" dxfId="783" priority="179">
      <formula>B712&lt;15</formula>
    </cfRule>
  </conditionalFormatting>
  <conditionalFormatting sqref="B718 D718 F718 H718 J718 L718 N718">
    <cfRule type="expression" dxfId="782" priority="180">
      <formula>B712&lt;15</formula>
    </cfRule>
  </conditionalFormatting>
  <conditionalFormatting sqref="C718 E718 G718 I718 K718 M718 O718">
    <cfRule type="expression" dxfId="781" priority="181">
      <formula>B717&lt;15</formula>
    </cfRule>
  </conditionalFormatting>
  <conditionalFormatting sqref="B713 D713 F713 H713 J713 L713 N713">
    <cfRule type="expression" dxfId="780" priority="170">
      <formula>B712&lt;15</formula>
    </cfRule>
  </conditionalFormatting>
  <conditionalFormatting sqref="C713 E713 G713 I713 K713 M713 O713">
    <cfRule type="expression" dxfId="779" priority="171">
      <formula>B712&lt;15</formula>
    </cfRule>
  </conditionalFormatting>
  <conditionalFormatting sqref="C18">
    <cfRule type="expression" dxfId="778" priority="88">
      <formula>B16&gt;15</formula>
    </cfRule>
  </conditionalFormatting>
  <conditionalFormatting sqref="E9">
    <cfRule type="expression" dxfId="777" priority="166">
      <formula>D7&gt;15</formula>
    </cfRule>
  </conditionalFormatting>
  <conditionalFormatting sqref="E10">
    <cfRule type="expression" dxfId="776" priority="167">
      <formula>D7&gt;15</formula>
    </cfRule>
  </conditionalFormatting>
  <conditionalFormatting sqref="E11">
    <cfRule type="expression" dxfId="775" priority="168">
      <formula>D7&gt;15</formula>
    </cfRule>
  </conditionalFormatting>
  <conditionalFormatting sqref="F9">
    <cfRule type="expression" dxfId="774" priority="163">
      <formula>F7&gt;15</formula>
    </cfRule>
  </conditionalFormatting>
  <conditionalFormatting sqref="F10">
    <cfRule type="expression" dxfId="773" priority="164">
      <formula>F7&gt;15</formula>
    </cfRule>
  </conditionalFormatting>
  <conditionalFormatting sqref="F11">
    <cfRule type="expression" dxfId="772" priority="165">
      <formula>F7&gt;15</formula>
    </cfRule>
  </conditionalFormatting>
  <conditionalFormatting sqref="H9">
    <cfRule type="expression" dxfId="771" priority="160">
      <formula>H7&gt;15</formula>
    </cfRule>
  </conditionalFormatting>
  <conditionalFormatting sqref="H10">
    <cfRule type="expression" dxfId="770" priority="161">
      <formula>H7&gt;15</formula>
    </cfRule>
  </conditionalFormatting>
  <conditionalFormatting sqref="H11">
    <cfRule type="expression" dxfId="769" priority="162">
      <formula>H7&gt;15</formula>
    </cfRule>
  </conditionalFormatting>
  <conditionalFormatting sqref="J9">
    <cfRule type="expression" dxfId="768" priority="157">
      <formula>J7&gt;15</formula>
    </cfRule>
  </conditionalFormatting>
  <conditionalFormatting sqref="J10">
    <cfRule type="expression" dxfId="767" priority="158">
      <formula>J7&gt;15</formula>
    </cfRule>
  </conditionalFormatting>
  <conditionalFormatting sqref="J11">
    <cfRule type="expression" dxfId="766" priority="159">
      <formula>J7&gt;15</formula>
    </cfRule>
  </conditionalFormatting>
  <conditionalFormatting sqref="L9">
    <cfRule type="expression" dxfId="765" priority="154">
      <formula>L7&gt;15</formula>
    </cfRule>
  </conditionalFormatting>
  <conditionalFormatting sqref="L10">
    <cfRule type="expression" dxfId="764" priority="155">
      <formula>L7&gt;15</formula>
    </cfRule>
  </conditionalFormatting>
  <conditionalFormatting sqref="L11">
    <cfRule type="expression" dxfId="763" priority="156">
      <formula>L7&gt;15</formula>
    </cfRule>
  </conditionalFormatting>
  <conditionalFormatting sqref="N9">
    <cfRule type="expression" dxfId="762" priority="151">
      <formula>N7&gt;15</formula>
    </cfRule>
  </conditionalFormatting>
  <conditionalFormatting sqref="N10">
    <cfRule type="expression" dxfId="761" priority="152">
      <formula>N7&gt;15</formula>
    </cfRule>
  </conditionalFormatting>
  <conditionalFormatting sqref="N11">
    <cfRule type="expression" dxfId="760" priority="153">
      <formula>N7&gt;15</formula>
    </cfRule>
  </conditionalFormatting>
  <conditionalFormatting sqref="B9">
    <cfRule type="expression" dxfId="759" priority="148">
      <formula>B7&gt;15</formula>
    </cfRule>
  </conditionalFormatting>
  <conditionalFormatting sqref="B10">
    <cfRule type="expression" dxfId="758" priority="149">
      <formula>B7&gt;15</formula>
    </cfRule>
  </conditionalFormatting>
  <conditionalFormatting sqref="B11">
    <cfRule type="expression" dxfId="757" priority="150">
      <formula>B7&gt;15</formula>
    </cfRule>
  </conditionalFormatting>
  <conditionalFormatting sqref="G9">
    <cfRule type="expression" dxfId="756" priority="145">
      <formula>F7&gt;15</formula>
    </cfRule>
  </conditionalFormatting>
  <conditionalFormatting sqref="G10">
    <cfRule type="expression" dxfId="755" priority="146">
      <formula>F7&gt;15</formula>
    </cfRule>
  </conditionalFormatting>
  <conditionalFormatting sqref="G11">
    <cfRule type="expression" dxfId="754" priority="147">
      <formula>F7&gt;15</formula>
    </cfRule>
  </conditionalFormatting>
  <conditionalFormatting sqref="I9">
    <cfRule type="expression" dxfId="753" priority="142">
      <formula>H7&gt;15</formula>
    </cfRule>
  </conditionalFormatting>
  <conditionalFormatting sqref="I10">
    <cfRule type="expression" dxfId="752" priority="143">
      <formula>H7&gt;15</formula>
    </cfRule>
  </conditionalFormatting>
  <conditionalFormatting sqref="I11">
    <cfRule type="expression" dxfId="751" priority="144">
      <formula>H7&gt;15</formula>
    </cfRule>
  </conditionalFormatting>
  <conditionalFormatting sqref="K9">
    <cfRule type="expression" dxfId="750" priority="139">
      <formula>J7&gt;15</formula>
    </cfRule>
  </conditionalFormatting>
  <conditionalFormatting sqref="K10">
    <cfRule type="expression" dxfId="749" priority="140">
      <formula>J7&gt;15</formula>
    </cfRule>
  </conditionalFormatting>
  <conditionalFormatting sqref="K11">
    <cfRule type="expression" dxfId="748" priority="141">
      <formula>J7&gt;15</formula>
    </cfRule>
  </conditionalFormatting>
  <conditionalFormatting sqref="M9">
    <cfRule type="expression" dxfId="747" priority="136">
      <formula>L7&gt;15</formula>
    </cfRule>
  </conditionalFormatting>
  <conditionalFormatting sqref="M10">
    <cfRule type="expression" dxfId="746" priority="137">
      <formula>L7&gt;15</formula>
    </cfRule>
  </conditionalFormatting>
  <conditionalFormatting sqref="M11">
    <cfRule type="expression" dxfId="745" priority="138">
      <formula>L7&gt;15</formula>
    </cfRule>
  </conditionalFormatting>
  <conditionalFormatting sqref="O9">
    <cfRule type="expression" dxfId="744" priority="133">
      <formula>N7&gt;15</formula>
    </cfRule>
  </conditionalFormatting>
  <conditionalFormatting sqref="O10">
    <cfRule type="expression" dxfId="743" priority="134">
      <formula>N7&gt;15</formula>
    </cfRule>
  </conditionalFormatting>
  <conditionalFormatting sqref="O11">
    <cfRule type="expression" dxfId="742" priority="135">
      <formula>N7&gt;15</formula>
    </cfRule>
  </conditionalFormatting>
  <conditionalFormatting sqref="D18">
    <cfRule type="expression" dxfId="741" priority="127">
      <formula>D16&gt;15</formula>
    </cfRule>
  </conditionalFormatting>
  <conditionalFormatting sqref="D19">
    <cfRule type="expression" dxfId="740" priority="128">
      <formula>D16&gt;15</formula>
    </cfRule>
  </conditionalFormatting>
  <conditionalFormatting sqref="D20">
    <cfRule type="expression" dxfId="739" priority="129">
      <formula>D16&gt;15</formula>
    </cfRule>
  </conditionalFormatting>
  <conditionalFormatting sqref="E18">
    <cfRule type="expression" dxfId="738" priority="124">
      <formula>D16&gt;15</formula>
    </cfRule>
  </conditionalFormatting>
  <conditionalFormatting sqref="E19">
    <cfRule type="expression" dxfId="737" priority="125">
      <formula>D16&gt;15</formula>
    </cfRule>
  </conditionalFormatting>
  <conditionalFormatting sqref="E20">
    <cfRule type="expression" dxfId="736" priority="126">
      <formula>D16&gt;15</formula>
    </cfRule>
  </conditionalFormatting>
  <conditionalFormatting sqref="F18">
    <cfRule type="expression" dxfId="735" priority="121">
      <formula>F16&gt;15</formula>
    </cfRule>
  </conditionalFormatting>
  <conditionalFormatting sqref="F19">
    <cfRule type="expression" dxfId="734" priority="122">
      <formula>F16&gt;15</formula>
    </cfRule>
  </conditionalFormatting>
  <conditionalFormatting sqref="F20">
    <cfRule type="expression" dxfId="733" priority="123">
      <formula>F16&gt;15</formula>
    </cfRule>
  </conditionalFormatting>
  <conditionalFormatting sqref="H18">
    <cfRule type="expression" dxfId="732" priority="118">
      <formula>H16&gt;15</formula>
    </cfRule>
  </conditionalFormatting>
  <conditionalFormatting sqref="H19">
    <cfRule type="expression" dxfId="731" priority="119">
      <formula>H16&gt;15</formula>
    </cfRule>
  </conditionalFormatting>
  <conditionalFormatting sqref="H20">
    <cfRule type="expression" dxfId="730" priority="120">
      <formula>H16&gt;15</formula>
    </cfRule>
  </conditionalFormatting>
  <conditionalFormatting sqref="J18">
    <cfRule type="expression" dxfId="729" priority="115">
      <formula>J16&gt;15</formula>
    </cfRule>
  </conditionalFormatting>
  <conditionalFormatting sqref="J19">
    <cfRule type="expression" dxfId="728" priority="116">
      <formula>J16&gt;15</formula>
    </cfRule>
  </conditionalFormatting>
  <conditionalFormatting sqref="J20">
    <cfRule type="expression" dxfId="727" priority="117">
      <formula>J16&gt;15</formula>
    </cfRule>
  </conditionalFormatting>
  <conditionalFormatting sqref="L18">
    <cfRule type="expression" dxfId="726" priority="112">
      <formula>L16&gt;15</formula>
    </cfRule>
  </conditionalFormatting>
  <conditionalFormatting sqref="L19">
    <cfRule type="expression" dxfId="725" priority="113">
      <formula>L16&gt;15</formula>
    </cfRule>
  </conditionalFormatting>
  <conditionalFormatting sqref="L20">
    <cfRule type="expression" dxfId="724" priority="114">
      <formula>L16&gt;15</formula>
    </cfRule>
  </conditionalFormatting>
  <conditionalFormatting sqref="N18">
    <cfRule type="expression" dxfId="723" priority="109">
      <formula>N16&gt;15</formula>
    </cfRule>
  </conditionalFormatting>
  <conditionalFormatting sqref="N19">
    <cfRule type="expression" dxfId="722" priority="110">
      <formula>N16&gt;15</formula>
    </cfRule>
  </conditionalFormatting>
  <conditionalFormatting sqref="N20">
    <cfRule type="expression" dxfId="721" priority="111">
      <formula>N16&gt;15</formula>
    </cfRule>
  </conditionalFormatting>
  <conditionalFormatting sqref="B18">
    <cfRule type="expression" dxfId="720" priority="106">
      <formula>B16&gt;15</formula>
    </cfRule>
  </conditionalFormatting>
  <conditionalFormatting sqref="B19">
    <cfRule type="expression" dxfId="719" priority="107">
      <formula>B16&gt;15</formula>
    </cfRule>
  </conditionalFormatting>
  <conditionalFormatting sqref="B20">
    <cfRule type="expression" dxfId="718" priority="108">
      <formula>B16&gt;15</formula>
    </cfRule>
  </conditionalFormatting>
  <conditionalFormatting sqref="G18">
    <cfRule type="expression" dxfId="717" priority="103">
      <formula>F16&gt;15</formula>
    </cfRule>
  </conditionalFormatting>
  <conditionalFormatting sqref="G19">
    <cfRule type="expression" dxfId="716" priority="104">
      <formula>F16&gt;15</formula>
    </cfRule>
  </conditionalFormatting>
  <conditionalFormatting sqref="G20">
    <cfRule type="expression" dxfId="715" priority="105">
      <formula>F16&gt;15</formula>
    </cfRule>
  </conditionalFormatting>
  <conditionalFormatting sqref="I18">
    <cfRule type="expression" dxfId="714" priority="100">
      <formula>H16&gt;15</formula>
    </cfRule>
  </conditionalFormatting>
  <conditionalFormatting sqref="I19">
    <cfRule type="expression" dxfId="713" priority="101">
      <formula>H16&gt;15</formula>
    </cfRule>
  </conditionalFormatting>
  <conditionalFormatting sqref="I20">
    <cfRule type="expression" dxfId="712" priority="102">
      <formula>H16&gt;15</formula>
    </cfRule>
  </conditionalFormatting>
  <conditionalFormatting sqref="K18">
    <cfRule type="expression" dxfId="711" priority="97">
      <formula>J16&gt;15</formula>
    </cfRule>
  </conditionalFormatting>
  <conditionalFormatting sqref="K19">
    <cfRule type="expression" dxfId="710" priority="98">
      <formula>J16&gt;15</formula>
    </cfRule>
  </conditionalFormatting>
  <conditionalFormatting sqref="K20">
    <cfRule type="expression" dxfId="709" priority="99">
      <formula>J16&gt;15</formula>
    </cfRule>
  </conditionalFormatting>
  <conditionalFormatting sqref="M18">
    <cfRule type="expression" dxfId="708" priority="94">
      <formula>L16&gt;15</formula>
    </cfRule>
  </conditionalFormatting>
  <conditionalFormatting sqref="M19">
    <cfRule type="expression" dxfId="707" priority="95">
      <formula>L16&gt;15</formula>
    </cfRule>
  </conditionalFormatting>
  <conditionalFormatting sqref="M20">
    <cfRule type="expression" dxfId="706" priority="96">
      <formula>L16&gt;15</formula>
    </cfRule>
  </conditionalFormatting>
  <conditionalFormatting sqref="O18">
    <cfRule type="expression" dxfId="705" priority="91">
      <formula>N16&gt;15</formula>
    </cfRule>
  </conditionalFormatting>
  <conditionalFormatting sqref="O19">
    <cfRule type="expression" dxfId="704" priority="92">
      <formula>N16&gt;15</formula>
    </cfRule>
  </conditionalFormatting>
  <conditionalFormatting sqref="O20">
    <cfRule type="expression" dxfId="703" priority="93">
      <formula>N16&gt;15</formula>
    </cfRule>
  </conditionalFormatting>
  <conditionalFormatting sqref="C19">
    <cfRule type="expression" dxfId="702" priority="89">
      <formula>B16&gt;15</formula>
    </cfRule>
  </conditionalFormatting>
  <conditionalFormatting sqref="C20">
    <cfRule type="expression" dxfId="701" priority="90">
      <formula>B16&gt;15</formula>
    </cfRule>
  </conditionalFormatting>
  <conditionalFormatting sqref="B7:O7">
    <cfRule type="expression" dxfId="700" priority="85">
      <formula>B7&gt;15</formula>
    </cfRule>
  </conditionalFormatting>
  <conditionalFormatting sqref="B43:O43">
    <cfRule type="expression" dxfId="699" priority="84">
      <formula>B43&lt;15</formula>
    </cfRule>
  </conditionalFormatting>
  <conditionalFormatting sqref="B52:O52">
    <cfRule type="expression" dxfId="698" priority="83">
      <formula>B52&lt;15</formula>
    </cfRule>
  </conditionalFormatting>
  <conditionalFormatting sqref="B67:O67">
    <cfRule type="expression" dxfId="697" priority="82">
      <formula>B67&gt;15</formula>
    </cfRule>
  </conditionalFormatting>
  <conditionalFormatting sqref="B103:O103">
    <cfRule type="expression" dxfId="696" priority="81">
      <formula>B103&lt;15</formula>
    </cfRule>
  </conditionalFormatting>
  <conditionalFormatting sqref="B112:O112">
    <cfRule type="expression" dxfId="695" priority="80">
      <formula>B112&lt;15</formula>
    </cfRule>
  </conditionalFormatting>
  <conditionalFormatting sqref="B127:O127">
    <cfRule type="expression" dxfId="694" priority="79">
      <formula>B127&gt;15</formula>
    </cfRule>
  </conditionalFormatting>
  <conditionalFormatting sqref="B163:O163">
    <cfRule type="expression" dxfId="693" priority="78">
      <formula>B163&lt;15</formula>
    </cfRule>
  </conditionalFormatting>
  <conditionalFormatting sqref="B172:O172">
    <cfRule type="expression" dxfId="692" priority="77">
      <formula>B172&lt;15</formula>
    </cfRule>
  </conditionalFormatting>
  <conditionalFormatting sqref="B187:O187">
    <cfRule type="expression" dxfId="691" priority="76">
      <formula>B187&gt;15</formula>
    </cfRule>
  </conditionalFormatting>
  <conditionalFormatting sqref="B223:O223">
    <cfRule type="expression" dxfId="690" priority="75">
      <formula>B223&lt;15</formula>
    </cfRule>
  </conditionalFormatting>
  <conditionalFormatting sqref="B232:O232">
    <cfRule type="expression" dxfId="689" priority="74">
      <formula>B232&lt;15</formula>
    </cfRule>
  </conditionalFormatting>
  <conditionalFormatting sqref="B247:O247">
    <cfRule type="expression" dxfId="688" priority="73">
      <formula>B247&gt;15</formula>
    </cfRule>
  </conditionalFormatting>
  <conditionalFormatting sqref="B283:O283">
    <cfRule type="expression" dxfId="687" priority="72">
      <formula>B283&lt;15</formula>
    </cfRule>
  </conditionalFormatting>
  <conditionalFormatting sqref="B292:O292">
    <cfRule type="expression" dxfId="686" priority="71">
      <formula>B292&lt;15</formula>
    </cfRule>
  </conditionalFormatting>
  <conditionalFormatting sqref="B307:O307">
    <cfRule type="expression" dxfId="685" priority="70">
      <formula>B307&gt;15</formula>
    </cfRule>
  </conditionalFormatting>
  <conditionalFormatting sqref="B343:O343">
    <cfRule type="expression" dxfId="684" priority="69">
      <formula>B343&lt;15</formula>
    </cfRule>
  </conditionalFormatting>
  <conditionalFormatting sqref="B352:O352">
    <cfRule type="expression" dxfId="683" priority="68">
      <formula>B352&lt;15</formula>
    </cfRule>
  </conditionalFormatting>
  <conditionalFormatting sqref="B367:O367">
    <cfRule type="expression" dxfId="682" priority="67">
      <formula>B367&gt;15</formula>
    </cfRule>
  </conditionalFormatting>
  <conditionalFormatting sqref="B403:O403">
    <cfRule type="expression" dxfId="681" priority="66">
      <formula>B403&lt;15</formula>
    </cfRule>
  </conditionalFormatting>
  <conditionalFormatting sqref="B412:O412">
    <cfRule type="expression" dxfId="680" priority="65">
      <formula>B412&lt;15</formula>
    </cfRule>
  </conditionalFormatting>
  <conditionalFormatting sqref="B427:O427">
    <cfRule type="expression" dxfId="679" priority="64">
      <formula>B427&gt;15</formula>
    </cfRule>
  </conditionalFormatting>
  <conditionalFormatting sqref="B463:O463">
    <cfRule type="expression" dxfId="678" priority="63">
      <formula>B463&lt;15</formula>
    </cfRule>
  </conditionalFormatting>
  <conditionalFormatting sqref="B472:O472">
    <cfRule type="expression" dxfId="677" priority="62">
      <formula>B472&lt;15</formula>
    </cfRule>
  </conditionalFormatting>
  <conditionalFormatting sqref="B487:O487">
    <cfRule type="expression" dxfId="676" priority="61">
      <formula>B487&gt;15</formula>
    </cfRule>
  </conditionalFormatting>
  <conditionalFormatting sqref="B523:O523">
    <cfRule type="expression" dxfId="675" priority="60">
      <formula>B523&lt;15</formula>
    </cfRule>
  </conditionalFormatting>
  <conditionalFormatting sqref="B532:O532">
    <cfRule type="expression" dxfId="674" priority="59">
      <formula>B532&lt;15</formula>
    </cfRule>
  </conditionalFormatting>
  <conditionalFormatting sqref="B547:O547">
    <cfRule type="expression" dxfId="673" priority="58">
      <formula>B547&gt;15</formula>
    </cfRule>
  </conditionalFormatting>
  <conditionalFormatting sqref="B712:O712">
    <cfRule type="expression" dxfId="672" priority="48">
      <formula>B712&lt;15</formula>
    </cfRule>
  </conditionalFormatting>
  <conditionalFormatting sqref="B703:O703">
    <cfRule type="expression" dxfId="671" priority="49">
      <formula>B703&lt;15</formula>
    </cfRule>
  </conditionalFormatting>
  <conditionalFormatting sqref="B592:O592">
    <cfRule type="expression" dxfId="670" priority="55">
      <formula>B592&lt;15</formula>
    </cfRule>
  </conditionalFormatting>
  <conditionalFormatting sqref="B583:O583">
    <cfRule type="expression" dxfId="669" priority="54">
      <formula>B583&lt;15</formula>
    </cfRule>
  </conditionalFormatting>
  <conditionalFormatting sqref="B607:O607">
    <cfRule type="expression" dxfId="668" priority="53">
      <formula>B607&gt;15</formula>
    </cfRule>
  </conditionalFormatting>
  <conditionalFormatting sqref="B643:O643">
    <cfRule type="expression" dxfId="667" priority="52">
      <formula>B643&lt;15</formula>
    </cfRule>
  </conditionalFormatting>
  <conditionalFormatting sqref="B652:O652">
    <cfRule type="expression" dxfId="666" priority="51">
      <formula>B652&lt;15</formula>
    </cfRule>
  </conditionalFormatting>
  <conditionalFormatting sqref="B667:O667">
    <cfRule type="expression" dxfId="665" priority="50">
      <formula>B667&gt;15</formula>
    </cfRule>
  </conditionalFormatting>
  <conditionalFormatting sqref="F12 H12 J12 L12 N12">
    <cfRule type="expression" dxfId="664" priority="45">
      <formula>F7&gt;15</formula>
    </cfRule>
  </conditionalFormatting>
  <conditionalFormatting sqref="G12 I12 K12 M12 O12">
    <cfRule type="expression" dxfId="663" priority="46">
      <formula>F7&gt;15</formula>
    </cfRule>
  </conditionalFormatting>
  <conditionalFormatting sqref="F13 H13 J13 L13 N13">
    <cfRule type="expression" dxfId="662" priority="47">
      <formula>F7&gt;15</formula>
    </cfRule>
  </conditionalFormatting>
  <conditionalFormatting sqref="B21 D21 F21 H21 J21">
    <cfRule type="expression" dxfId="661" priority="42">
      <formula>B16&gt;15</formula>
    </cfRule>
  </conditionalFormatting>
  <conditionalFormatting sqref="C21 E21 G21 I21 K21">
    <cfRule type="expression" dxfId="660" priority="43">
      <formula>B16&gt;15</formula>
    </cfRule>
  </conditionalFormatting>
  <conditionalFormatting sqref="B22 D22 F22 H22 J22">
    <cfRule type="expression" dxfId="659" priority="44">
      <formula>B16&gt;15</formula>
    </cfRule>
  </conditionalFormatting>
  <conditionalFormatting sqref="L21 N21">
    <cfRule type="expression" dxfId="658" priority="39">
      <formula>L16&gt;15</formula>
    </cfRule>
  </conditionalFormatting>
  <conditionalFormatting sqref="M21 O21">
    <cfRule type="expression" dxfId="657" priority="40">
      <formula>L16&gt;15</formula>
    </cfRule>
  </conditionalFormatting>
  <conditionalFormatting sqref="L22 N22">
    <cfRule type="expression" dxfId="656" priority="41">
      <formula>L16&gt;15</formula>
    </cfRule>
  </conditionalFormatting>
  <conditionalFormatting sqref="P14">
    <cfRule type="expression" dxfId="655" priority="20">
      <formula>N7&gt;15</formula>
    </cfRule>
  </conditionalFormatting>
  <conditionalFormatting sqref="P50">
    <cfRule type="expression" dxfId="654" priority="19">
      <formula>N43&lt;15</formula>
    </cfRule>
  </conditionalFormatting>
  <conditionalFormatting sqref="B294">
    <cfRule type="expression" dxfId="653" priority="13">
      <formula>B292&lt;15</formula>
    </cfRule>
  </conditionalFormatting>
  <conditionalFormatting sqref="C294">
    <cfRule type="expression" dxfId="652" priority="14">
      <formula>B292&lt;15</formula>
    </cfRule>
  </conditionalFormatting>
  <conditionalFormatting sqref="B295">
    <cfRule type="expression" dxfId="651" priority="15">
      <formula>B292&lt;15</formula>
    </cfRule>
  </conditionalFormatting>
  <conditionalFormatting sqref="C295">
    <cfRule type="expression" dxfId="650" priority="16">
      <formula>B292&lt;15</formula>
    </cfRule>
  </conditionalFormatting>
  <conditionalFormatting sqref="B296">
    <cfRule type="expression" dxfId="649" priority="17">
      <formula>B292&lt;15</formula>
    </cfRule>
  </conditionalFormatting>
  <conditionalFormatting sqref="C296">
    <cfRule type="expression" dxfId="648" priority="18">
      <formula>B292&lt;15</formula>
    </cfRule>
  </conditionalFormatting>
  <conditionalFormatting sqref="B594">
    <cfRule type="expression" dxfId="647" priority="7">
      <formula>B592&lt;15</formula>
    </cfRule>
  </conditionalFormatting>
  <conditionalFormatting sqref="C594">
    <cfRule type="expression" dxfId="646" priority="8">
      <formula>B592&lt;15</formula>
    </cfRule>
  </conditionalFormatting>
  <conditionalFormatting sqref="B595">
    <cfRule type="expression" dxfId="645" priority="9">
      <formula>B592&lt;15</formula>
    </cfRule>
  </conditionalFormatting>
  <conditionalFormatting sqref="C595">
    <cfRule type="expression" dxfId="644" priority="10">
      <formula>B592&lt;15</formula>
    </cfRule>
  </conditionalFormatting>
  <conditionalFormatting sqref="B596">
    <cfRule type="expression" dxfId="643" priority="11">
      <formula>B592&lt;15</formula>
    </cfRule>
  </conditionalFormatting>
  <conditionalFormatting sqref="C596">
    <cfRule type="expression" dxfId="642" priority="12">
      <formula>B592&lt;15</formula>
    </cfRule>
  </conditionalFormatting>
  <conditionalFormatting sqref="D294">
    <cfRule type="expression" dxfId="641" priority="1">
      <formula>D292&lt;15</formula>
    </cfRule>
  </conditionalFormatting>
  <conditionalFormatting sqref="E294">
    <cfRule type="expression" dxfId="640" priority="2">
      <formula>D292&lt;15</formula>
    </cfRule>
  </conditionalFormatting>
  <conditionalFormatting sqref="D295">
    <cfRule type="expression" dxfId="639" priority="3">
      <formula>D292&lt;15</formula>
    </cfRule>
  </conditionalFormatting>
  <conditionalFormatting sqref="E295">
    <cfRule type="expression" dxfId="638" priority="4">
      <formula>D292&lt;15</formula>
    </cfRule>
  </conditionalFormatting>
  <conditionalFormatting sqref="D296">
    <cfRule type="expression" dxfId="637" priority="5">
      <formula>D292&lt;15</formula>
    </cfRule>
  </conditionalFormatting>
  <conditionalFormatting sqref="E296">
    <cfRule type="expression" dxfId="636" priority="6">
      <formula>D292&lt;15</formula>
    </cfRule>
  </conditionalFormatting>
  <printOptions horizontalCentered="1" verticalCentered="1"/>
  <pageMargins left="0.51181102362204722" right="0.51181102362204722" top="0.70866141732283472" bottom="0.74803149606299213" header="0.31496062992125984" footer="0.31496062992125984"/>
  <pageSetup paperSize="9" scale="78" fitToHeight="12" orientation="landscape" r:id="rId1"/>
  <rowBreaks count="11" manualBreakCount="11">
    <brk id="59" min="1" max="15" man="1"/>
    <brk id="119" min="1" max="15" man="1"/>
    <brk id="179" min="1" max="15" man="1"/>
    <brk id="239" min="1" max="15" man="1"/>
    <brk id="299" min="1" max="15" man="1"/>
    <brk id="359" min="1" max="15" man="1"/>
    <brk id="419" min="1" max="15" man="1"/>
    <brk id="479" min="1" max="15" man="1"/>
    <brk id="539" min="1" max="15" man="1"/>
    <brk id="599" min="1" max="15" man="1"/>
    <brk id="659" min="1"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1764E-D937-4997-95CD-D79FE54F785F}">
  <sheetPr codeName="Ark4">
    <tabColor theme="4"/>
    <pageSetUpPr autoPageBreaks="0"/>
  </sheetPr>
  <dimension ref="A1:R708"/>
  <sheetViews>
    <sheetView showGridLines="0" zoomScale="90" zoomScaleNormal="90" workbookViewId="0"/>
  </sheetViews>
  <sheetFormatPr defaultColWidth="9.140625" defaultRowHeight="11.25" x14ac:dyDescent="0.2"/>
  <cols>
    <col min="1" max="1" width="1.5703125" style="50" customWidth="1"/>
    <col min="2" max="2" width="11.28515625" style="93" customWidth="1"/>
    <col min="3" max="3" width="11.28515625" style="94" customWidth="1"/>
    <col min="4" max="4" width="11.28515625" style="93" customWidth="1"/>
    <col min="5" max="5" width="11.28515625" style="94" customWidth="1"/>
    <col min="6" max="6" width="11.28515625" style="93" customWidth="1"/>
    <col min="7" max="7" width="11.28515625" style="94" customWidth="1"/>
    <col min="8" max="8" width="13" style="93" customWidth="1"/>
    <col min="9" max="9" width="11.28515625" style="94" customWidth="1"/>
    <col min="10" max="10" width="11.28515625" style="93" customWidth="1"/>
    <col min="11" max="11" width="11.28515625" style="94" customWidth="1"/>
    <col min="12" max="12" width="11.28515625" style="93" customWidth="1"/>
    <col min="13" max="13" width="11.28515625" style="94" customWidth="1"/>
    <col min="14" max="14" width="11.28515625" style="93" customWidth="1"/>
    <col min="15" max="15" width="11.28515625" style="94" customWidth="1"/>
    <col min="16" max="16" width="14.28515625" style="93" customWidth="1"/>
    <col min="17" max="16384" width="9.140625" style="49"/>
  </cols>
  <sheetData>
    <row r="1" spans="1:18" ht="18" customHeight="1" x14ac:dyDescent="0.25">
      <c r="A1" s="48"/>
      <c r="B1" s="245">
        <f>Betalingsopgørelse!D6</f>
        <v>2024</v>
      </c>
      <c r="C1" s="245"/>
      <c r="D1" s="245"/>
      <c r="E1" s="245"/>
      <c r="F1" s="245"/>
      <c r="G1" s="13" t="s">
        <v>56</v>
      </c>
      <c r="H1" s="14" t="str">
        <f>IF(navn&gt;0,navn," ")</f>
        <v>SKABELON</v>
      </c>
      <c r="I1" s="13"/>
      <c r="J1" s="14"/>
      <c r="K1" s="13" t="s">
        <v>59</v>
      </c>
      <c r="L1" s="262" t="str">
        <f>IF(ISBLANK(sted),"",_xlfn.CONCAT(sted," nr. ",bolignr))</f>
        <v xml:space="preserve">SKABELON nr. </v>
      </c>
      <c r="M1" s="262"/>
      <c r="N1" s="13" t="s">
        <v>57</v>
      </c>
      <c r="O1" s="14" t="str">
        <f>Betalingsopgørelse!C7</f>
        <v>Fjordly plejehjem</v>
      </c>
      <c r="P1" s="14"/>
    </row>
    <row r="2" spans="1:18" ht="30" customHeight="1" x14ac:dyDescent="0.25">
      <c r="B2" s="246" t="s">
        <v>31</v>
      </c>
      <c r="C2" s="246"/>
      <c r="D2" s="246"/>
      <c r="E2" s="246"/>
      <c r="F2" s="51" t="s">
        <v>82</v>
      </c>
      <c r="G2" s="51"/>
      <c r="H2" s="51"/>
      <c r="I2" s="51"/>
      <c r="J2" s="51"/>
      <c r="K2" s="51"/>
      <c r="L2" s="247" t="s">
        <v>83</v>
      </c>
      <c r="M2" s="247"/>
      <c r="N2" s="247" t="s">
        <v>84</v>
      </c>
      <c r="O2" s="247"/>
      <c r="P2" s="49"/>
    </row>
    <row r="3" spans="1:18" ht="25.5" customHeight="1" x14ac:dyDescent="0.25">
      <c r="B3" s="246"/>
      <c r="C3" s="246"/>
      <c r="D3" s="246"/>
      <c r="E3" s="246"/>
      <c r="F3" s="98" t="str">
        <f>Morgenmad</f>
        <v>Morgenmad</v>
      </c>
      <c r="G3" s="98">
        <f ca="1">IF(Januar_sum=0,0,(COUNTIF(B9:O58,Morgenmad)))-'Tilmeldte måltider'!G3</f>
        <v>0</v>
      </c>
      <c r="H3" s="98" t="str">
        <f>hovedret</f>
        <v>Hovedret</v>
      </c>
      <c r="I3" s="98">
        <f ca="1">IF(Januar_sum=0,0,(COUNTIF(B8:O57,hovedret)))-'Tilmeldte måltider'!I3</f>
        <v>0</v>
      </c>
      <c r="J3" s="98" t="str">
        <f>Aftensmad</f>
        <v>Aftensmad</v>
      </c>
      <c r="K3" s="98">
        <f ca="1">IF(Januar_sum=0,0,(COUNTIF(B8:O50,Aftensmad)))-'Tilmeldte måltider'!K3</f>
        <v>-1</v>
      </c>
      <c r="L3" s="268" t="e">
        <f ca="1">(G3*Morgenpris)+(I3*Frokostpris)+(K3*Aftenpris)+(G4*biretpris)+(I4*mellemmåltidspris)+(M4*gæstehpris)+(O4*gæstebpris)</f>
        <v>#VALUE!</v>
      </c>
      <c r="M3" s="269"/>
      <c r="N3" s="270" t="e">
        <f ca="1">$L$3+$L$62+$L$121+$L$180+$L$239+$L$298</f>
        <v>#VALUE!</v>
      </c>
      <c r="O3" s="271"/>
      <c r="P3" s="49"/>
      <c r="Q3" s="52"/>
      <c r="R3" s="52"/>
    </row>
    <row r="4" spans="1:18" ht="25.5" customHeight="1" x14ac:dyDescent="0.45">
      <c r="B4" s="121"/>
      <c r="C4" s="121"/>
      <c r="D4" s="121"/>
      <c r="E4" s="121"/>
      <c r="F4" s="97" t="str">
        <f>biret</f>
        <v>Biret</v>
      </c>
      <c r="G4" s="97">
        <f ca="1">IF(Januar_sum=0,0,(COUNTIF(B8:O49,biret)))-'Tilmeldte måltider'!G4</f>
        <v>-1</v>
      </c>
      <c r="H4" s="97" t="str">
        <f>mellemmåltid</f>
        <v>Mellemmåltid</v>
      </c>
      <c r="I4" s="97">
        <f ca="1">IF(Januar_sum=0,0,(COUNTIF(B9:O58,mellemmåltid)))-'Tilmeldte måltider'!I4</f>
        <v>0</v>
      </c>
      <c r="J4" s="140" t="s">
        <v>105</v>
      </c>
      <c r="K4" s="140"/>
      <c r="L4" s="141" t="s">
        <v>25</v>
      </c>
      <c r="M4" s="100"/>
      <c r="N4" s="141" t="s">
        <v>15</v>
      </c>
      <c r="O4" s="100"/>
      <c r="P4" s="49"/>
      <c r="Q4" s="52"/>
      <c r="R4" s="52"/>
    </row>
    <row r="5" spans="1:18" ht="7.5" customHeight="1" x14ac:dyDescent="0.2">
      <c r="B5" s="251">
        <v>1</v>
      </c>
      <c r="C5" s="251"/>
      <c r="D5" s="251">
        <v>2</v>
      </c>
      <c r="E5" s="251"/>
      <c r="F5" s="251">
        <v>3</v>
      </c>
      <c r="G5" s="251"/>
      <c r="H5" s="251">
        <v>4</v>
      </c>
      <c r="I5" s="251"/>
      <c r="J5" s="251">
        <v>5</v>
      </c>
      <c r="K5" s="251"/>
      <c r="L5" s="251">
        <v>6</v>
      </c>
      <c r="M5" s="251"/>
      <c r="N5" s="251">
        <v>7</v>
      </c>
      <c r="O5" s="251"/>
      <c r="P5" s="50"/>
    </row>
    <row r="6" spans="1:18" ht="15" customHeight="1" x14ac:dyDescent="0.25">
      <c r="B6" s="252" t="s">
        <v>34</v>
      </c>
      <c r="C6" s="253"/>
      <c r="D6" s="254" t="s">
        <v>35</v>
      </c>
      <c r="E6" s="255" t="e">
        <f>IF(WEEKDAY(DATEVALUE(Month1&amp;" 1, "&amp;Year1))=COLUMN(#REF!),1,IF(LEN(C6)&gt;0,C6+1,""))</f>
        <v>#NAME?</v>
      </c>
      <c r="F6" s="253" t="s">
        <v>36</v>
      </c>
      <c r="G6" s="253" t="e">
        <f>IF(WEEKDAY(DATEVALUE(Month1&amp;" 1, "&amp;Year1))=COLUMN(#REF!),1,IF(LEN(E6)&gt;0,E6+1,""))</f>
        <v>#NAME?</v>
      </c>
      <c r="H6" s="254" t="s">
        <v>37</v>
      </c>
      <c r="I6" s="255" t="e">
        <f>IF(WEEKDAY(DATEVALUE(Month1&amp;" 1, "&amp;Year1))=COLUMN(#REF!),1,IF(LEN(G6)&gt;0,G6+1,""))</f>
        <v>#NAME?</v>
      </c>
      <c r="J6" s="256" t="s">
        <v>38</v>
      </c>
      <c r="K6" s="257" t="e">
        <f>IF(WEEKDAY(DATEVALUE(Month1&amp;" 1, "&amp;Year1))=COLUMN(#REF!),1,IF(LEN(I6)&gt;0,I6+1,""))</f>
        <v>#NAME?</v>
      </c>
      <c r="L6" s="258" t="s">
        <v>39</v>
      </c>
      <c r="M6" s="259" t="e">
        <f>IF(WEEKDAY(DATEVALUE(Month1&amp;" 1, "&amp;Year1))=COLUMN(#REF!),1,IF(LEN(K6)&gt;0,K6+1,""))</f>
        <v>#NAME?</v>
      </c>
      <c r="N6" s="258" t="s">
        <v>40</v>
      </c>
      <c r="O6" s="259" t="e">
        <f>IF(WEEKDAY(DATEVALUE(Month1&amp;" 1, "&amp;Year1))=COLUMN(#REF!),1,IF(LEN(M6)&gt;0,M6+1,""))</f>
        <v>#NAME?</v>
      </c>
      <c r="P6" s="53" t="s">
        <v>41</v>
      </c>
    </row>
    <row r="7" spans="1:18" ht="15" customHeight="1" x14ac:dyDescent="0.25">
      <c r="A7" s="54"/>
      <c r="B7" s="55">
        <f>DAY(IF(DAY(JanSøn1)=1,JanSøn1-6,JanSøn1+1))</f>
        <v>1</v>
      </c>
      <c r="C7" s="56"/>
      <c r="D7" s="57">
        <f>DAY(IF(DAY(JanSøn1)=1,JanSøn1-5,JanSøn1+2))</f>
        <v>2</v>
      </c>
      <c r="E7" s="56"/>
      <c r="F7" s="57">
        <f>DAY(IF(DAY(JanSøn1)=1,JanSøn1-4,JanSøn1+3))</f>
        <v>3</v>
      </c>
      <c r="G7" s="56"/>
      <c r="H7" s="57">
        <f>DAY(IF(DAY(JanSøn1)=1,JanSøn1-3,JanSøn1+4))</f>
        <v>4</v>
      </c>
      <c r="I7" s="56"/>
      <c r="J7" s="57">
        <f>DAY(IF(DAY(JanSøn1)=1,JanSøn1-2,JanSøn1+5))</f>
        <v>5</v>
      </c>
      <c r="K7" s="56"/>
      <c r="L7" s="57">
        <f>DAY(IF(DAY(JanSøn1)=1,JanSøn1-1,JanSøn1+6))</f>
        <v>6</v>
      </c>
      <c r="M7" s="56"/>
      <c r="N7" s="58">
        <f>DAY(IF(DAY(JanSøn1)=1,JanSøn1,JanSøn1+7))</f>
        <v>7</v>
      </c>
      <c r="O7" s="59"/>
      <c r="P7" s="60"/>
    </row>
    <row r="8" spans="1:18" ht="11.25" customHeight="1" x14ac:dyDescent="0.25">
      <c r="A8" s="54"/>
      <c r="B8" s="61" t="s">
        <v>42</v>
      </c>
      <c r="C8" s="62" t="s">
        <v>43</v>
      </c>
      <c r="D8" s="63" t="s">
        <v>42</v>
      </c>
      <c r="E8" s="62" t="s">
        <v>43</v>
      </c>
      <c r="F8" s="63" t="s">
        <v>42</v>
      </c>
      <c r="G8" s="62" t="s">
        <v>43</v>
      </c>
      <c r="H8" s="63" t="s">
        <v>42</v>
      </c>
      <c r="I8" s="62" t="s">
        <v>43</v>
      </c>
      <c r="J8" s="63" t="s">
        <v>42</v>
      </c>
      <c r="K8" s="62" t="s">
        <v>43</v>
      </c>
      <c r="L8" s="63" t="s">
        <v>42</v>
      </c>
      <c r="M8" s="62" t="s">
        <v>43</v>
      </c>
      <c r="N8" s="64" t="s">
        <v>42</v>
      </c>
      <c r="O8" s="65" t="s">
        <v>43</v>
      </c>
      <c r="P8" s="66"/>
    </row>
    <row r="9" spans="1:18" ht="11.25" customHeight="1" x14ac:dyDescent="0.25">
      <c r="A9" s="54"/>
      <c r="B9" s="136"/>
      <c r="C9" s="67"/>
      <c r="D9" s="136"/>
      <c r="E9" s="67"/>
      <c r="F9" s="136"/>
      <c r="G9" s="67"/>
      <c r="H9" s="136"/>
      <c r="I9" s="67"/>
      <c r="J9" s="136"/>
      <c r="K9" s="67"/>
      <c r="L9" s="136" t="str">
        <f>IF(Tilmeldingsoversigt!$H$7="x",Morgenmad," ")</f>
        <v>Morgenmad</v>
      </c>
      <c r="M9" s="67">
        <f ca="1">IF(L9=Morgenmad,Tilmeldingsoversigt!$C$15," ")</f>
        <v>16.754098360655739</v>
      </c>
      <c r="N9" s="136" t="str">
        <f>IF(Tilmeldingsoversigt!$I$7="x",Morgenmad," ")</f>
        <v>Morgenmad</v>
      </c>
      <c r="O9" s="67">
        <f ca="1">IF(N9=Morgenmad,Tilmeldingsoversigt!$C$15," ")</f>
        <v>16.754098360655739</v>
      </c>
      <c r="P9" s="66"/>
    </row>
    <row r="10" spans="1:18" ht="11.25" customHeight="1" x14ac:dyDescent="0.25">
      <c r="A10" s="54"/>
      <c r="B10" s="68"/>
      <c r="C10" s="69"/>
      <c r="D10" s="68"/>
      <c r="E10" s="69"/>
      <c r="F10" s="68"/>
      <c r="G10" s="69"/>
      <c r="H10" s="68"/>
      <c r="I10" s="69"/>
      <c r="J10" s="68"/>
      <c r="K10" s="69"/>
      <c r="L10" s="68" t="str">
        <f>IF(Tilmeldingsoversigt!$H$8="x",hovedret," ")</f>
        <v>Hovedret</v>
      </c>
      <c r="M10" s="69">
        <f ca="1">IF(L10=hovedret,Tilmeldingsoversigt!$C$16," ")</f>
        <v>55.016393442622949</v>
      </c>
      <c r="N10" s="68" t="str">
        <f>IF(Tilmeldingsoversigt!$I$8="x",hovedret," ")</f>
        <v>Hovedret</v>
      </c>
      <c r="O10" s="69">
        <f ca="1">IF(N10=hovedret,Tilmeldingsoversigt!$C$16," ")</f>
        <v>55.016393442622949</v>
      </c>
      <c r="P10" s="66"/>
    </row>
    <row r="11" spans="1:18" ht="11.25" customHeight="1" x14ac:dyDescent="0.25">
      <c r="A11" s="54"/>
      <c r="B11" s="68"/>
      <c r="C11" s="69"/>
      <c r="D11" s="68"/>
      <c r="E11" s="69"/>
      <c r="F11" s="68"/>
      <c r="G11" s="69"/>
      <c r="H11" s="68"/>
      <c r="I11" s="69"/>
      <c r="J11" s="68"/>
      <c r="K11" s="69"/>
      <c r="L11" s="68" t="str">
        <f>IF(Tilmeldingsoversigt!$H$9="x",Aftensmad," ")</f>
        <v>Aftensmad</v>
      </c>
      <c r="M11" s="69">
        <f ca="1">IF(L11=Aftensmad,Tilmeldingsoversigt!$C$17," ")</f>
        <v>27.540983606557376</v>
      </c>
      <c r="N11" s="68" t="str">
        <f>IF(Tilmeldingsoversigt!$I$9="x",Aftensmad," ")</f>
        <v>Aftensmad</v>
      </c>
      <c r="O11" s="69">
        <f ca="1">IF(N11=Aftensmad,Tilmeldingsoversigt!$C$17," ")</f>
        <v>27.540983606557376</v>
      </c>
      <c r="P11" s="66"/>
    </row>
    <row r="12" spans="1:18" ht="11.25" customHeight="1" x14ac:dyDescent="0.25">
      <c r="A12" s="54"/>
      <c r="B12" s="68"/>
      <c r="C12" s="69"/>
      <c r="D12" s="68"/>
      <c r="E12" s="67"/>
      <c r="F12" s="68"/>
      <c r="G12" s="69"/>
      <c r="H12" s="68"/>
      <c r="I12" s="69"/>
      <c r="J12" s="68"/>
      <c r="K12" s="69"/>
      <c r="L12" s="68" t="str">
        <f>IF(Tilmeldingsoversigt!$H$10="x",biret," ")</f>
        <v>Biret</v>
      </c>
      <c r="M12" s="69">
        <f>IF(L12=biret,biretpris," ")</f>
        <v>0</v>
      </c>
      <c r="N12" s="68" t="str">
        <f>IF(Tilmeldingsoversigt!$I$10="x",biret," ")</f>
        <v>Biret</v>
      </c>
      <c r="O12" s="70">
        <f>IF(N12=biret,biretpris," ")</f>
        <v>0</v>
      </c>
      <c r="P12" s="66"/>
    </row>
    <row r="13" spans="1:18" ht="11.25" customHeight="1" x14ac:dyDescent="0.25">
      <c r="A13" s="54"/>
      <c r="B13" s="71"/>
      <c r="C13" s="72"/>
      <c r="D13" s="71"/>
      <c r="E13" s="67"/>
      <c r="F13" s="71"/>
      <c r="G13" s="69"/>
      <c r="H13" s="71"/>
      <c r="I13" s="72"/>
      <c r="J13" s="71"/>
      <c r="K13" s="72"/>
      <c r="L13" s="71" t="str">
        <f>IF(Tilmeldingsoversigt!$C$11="x",mellemmåltid," ")</f>
        <v xml:space="preserve"> </v>
      </c>
      <c r="M13" s="72" t="str">
        <f>IF(L13=mellemmåltid,mellemmåltidspris," ")</f>
        <v xml:space="preserve"> </v>
      </c>
      <c r="N13" s="71" t="str">
        <f>IF(Tilmeldingsoversigt!$C$11="x",mellemmåltid," ")</f>
        <v xml:space="preserve"> </v>
      </c>
      <c r="O13" s="73" t="str">
        <f>IF(N13=mellemmåltid,mellemmåltidspris," ")</f>
        <v xml:space="preserve"> </v>
      </c>
      <c r="P13" s="66"/>
    </row>
    <row r="14" spans="1:18" ht="11.25" customHeight="1" x14ac:dyDescent="0.25">
      <c r="A14" s="54"/>
      <c r="B14" s="74" t="s">
        <v>44</v>
      </c>
      <c r="C14" s="11">
        <f>SUM(C9:C13)</f>
        <v>0</v>
      </c>
      <c r="D14" s="74"/>
      <c r="E14" s="11">
        <f>SUM(E9:E13)</f>
        <v>0</v>
      </c>
      <c r="F14" s="74"/>
      <c r="G14" s="11">
        <f>SUM(G9:G13)</f>
        <v>0</v>
      </c>
      <c r="H14" s="74"/>
      <c r="I14" s="11">
        <f>SUM(I9:I13)</f>
        <v>0</v>
      </c>
      <c r="J14" s="74"/>
      <c r="K14" s="11">
        <f>SUM(K9:K13)</f>
        <v>0</v>
      </c>
      <c r="L14" s="74"/>
      <c r="M14" s="11">
        <f ca="1">SUM(M9:M13)</f>
        <v>99.311475409836063</v>
      </c>
      <c r="N14" s="74"/>
      <c r="O14" s="12">
        <f ca="1">SUM(O9:O13)</f>
        <v>99.311475409836063</v>
      </c>
      <c r="P14" s="75">
        <f ca="1">SUMIF(B7:N7,"&lt;8",C14:O14)</f>
        <v>198.62295081967213</v>
      </c>
    </row>
    <row r="15" spans="1:18" ht="11.25" customHeight="1" x14ac:dyDescent="0.2">
      <c r="A15" s="49"/>
      <c r="B15" s="76"/>
      <c r="C15" s="77"/>
      <c r="D15" s="77"/>
      <c r="E15" s="77"/>
      <c r="F15" s="77"/>
      <c r="G15" s="77"/>
      <c r="H15" s="77"/>
      <c r="I15" s="77"/>
      <c r="J15" s="77"/>
      <c r="K15" s="77"/>
      <c r="L15" s="77"/>
      <c r="M15" s="77"/>
      <c r="N15" s="77"/>
      <c r="O15" s="77"/>
      <c r="P15" s="76"/>
    </row>
    <row r="16" spans="1:18" ht="15" customHeight="1" x14ac:dyDescent="0.25">
      <c r="A16" s="54"/>
      <c r="B16" s="78">
        <f>N7+1</f>
        <v>8</v>
      </c>
      <c r="C16" s="79"/>
      <c r="D16" s="78">
        <f>B16+1</f>
        <v>9</v>
      </c>
      <c r="E16" s="79"/>
      <c r="F16" s="78">
        <f>D16+1</f>
        <v>10</v>
      </c>
      <c r="G16" s="79"/>
      <c r="H16" s="78">
        <f>F16+1</f>
        <v>11</v>
      </c>
      <c r="I16" s="79"/>
      <c r="J16" s="78">
        <f>H16+1</f>
        <v>12</v>
      </c>
      <c r="K16" s="79"/>
      <c r="L16" s="78">
        <f>J16+1</f>
        <v>13</v>
      </c>
      <c r="M16" s="79"/>
      <c r="N16" s="78">
        <f>L16+1</f>
        <v>14</v>
      </c>
      <c r="O16" s="79"/>
      <c r="P16" s="80"/>
    </row>
    <row r="17" spans="1:16" ht="11.25" customHeight="1" x14ac:dyDescent="0.25">
      <c r="A17" s="54"/>
      <c r="B17" s="64" t="s">
        <v>42</v>
      </c>
      <c r="C17" s="81" t="s">
        <v>43</v>
      </c>
      <c r="D17" s="64" t="s">
        <v>42</v>
      </c>
      <c r="E17" s="81" t="s">
        <v>43</v>
      </c>
      <c r="F17" s="64" t="s">
        <v>42</v>
      </c>
      <c r="G17" s="81" t="s">
        <v>43</v>
      </c>
      <c r="H17" s="64" t="s">
        <v>42</v>
      </c>
      <c r="I17" s="81" t="s">
        <v>43</v>
      </c>
      <c r="J17" s="64" t="s">
        <v>42</v>
      </c>
      <c r="K17" s="81" t="s">
        <v>43</v>
      </c>
      <c r="L17" s="64" t="s">
        <v>42</v>
      </c>
      <c r="M17" s="81" t="s">
        <v>43</v>
      </c>
      <c r="N17" s="64" t="s">
        <v>42</v>
      </c>
      <c r="O17" s="82" t="s">
        <v>43</v>
      </c>
      <c r="P17" s="66"/>
    </row>
    <row r="18" spans="1:16" ht="11.25" customHeight="1" x14ac:dyDescent="0.25">
      <c r="A18" s="54"/>
      <c r="B18" s="136" t="str">
        <f>IF(Tilmeldingsoversigt!$C$7="x",Morgenmad," ")</f>
        <v>Morgenmad</v>
      </c>
      <c r="C18" s="67">
        <f ca="1">IF(B18=Morgenmad,Tilmeldingsoversigt!$C$15," ")</f>
        <v>16.754098360655739</v>
      </c>
      <c r="D18" s="136" t="str">
        <f>IF(Tilmeldingsoversigt!$D$7="x",Morgenmad," ")</f>
        <v>Morgenmad</v>
      </c>
      <c r="E18" s="67">
        <f ca="1">IF(D18=Morgenmad,Tilmeldingsoversigt!$C$15," ")</f>
        <v>16.754098360655739</v>
      </c>
      <c r="F18" s="136" t="str">
        <f>IF(Tilmeldingsoversigt!$E$7="x",Morgenmad," ")</f>
        <v>Morgenmad</v>
      </c>
      <c r="G18" s="67">
        <f ca="1">IF(F18=Morgenmad,Tilmeldingsoversigt!$C$15," ")</f>
        <v>16.754098360655739</v>
      </c>
      <c r="H18" s="136" t="str">
        <f>IF(Tilmeldingsoversigt!$F$7="x",Morgenmad," ")</f>
        <v>Morgenmad</v>
      </c>
      <c r="I18" s="67">
        <f ca="1">IF(H18=Morgenmad,Tilmeldingsoversigt!$C$15," ")</f>
        <v>16.754098360655739</v>
      </c>
      <c r="J18" s="136" t="str">
        <f>IF(Tilmeldingsoversigt!$G$7="x",Morgenmad," ")</f>
        <v>Morgenmad</v>
      </c>
      <c r="K18" s="67">
        <f ca="1">IF(J18=Morgenmad,Tilmeldingsoversigt!$C$15," ")</f>
        <v>16.754098360655739</v>
      </c>
      <c r="L18" s="136" t="str">
        <f>IF(Tilmeldingsoversigt!$H$7="x",Morgenmad," ")</f>
        <v>Morgenmad</v>
      </c>
      <c r="M18" s="67">
        <f ca="1">IF(L18=Morgenmad,Tilmeldingsoversigt!$C$15," ")</f>
        <v>16.754098360655739</v>
      </c>
      <c r="N18" s="136" t="str">
        <f>IF(Tilmeldingsoversigt!$I$7="x",Morgenmad," ")</f>
        <v>Morgenmad</v>
      </c>
      <c r="O18" s="67">
        <f ca="1">IF(N18=Morgenmad,Tilmeldingsoversigt!$C$15," ")</f>
        <v>16.754098360655739</v>
      </c>
      <c r="P18" s="66"/>
    </row>
    <row r="19" spans="1:16" ht="11.25" customHeight="1" x14ac:dyDescent="0.25">
      <c r="A19" s="54"/>
      <c r="B19" s="68" t="str">
        <f>IF(Tilmeldingsoversigt!$C$8="x",hovedret," ")</f>
        <v>Hovedret</v>
      </c>
      <c r="C19" s="69">
        <f ca="1">IF(B19=hovedret,Tilmeldingsoversigt!$C$16," ")</f>
        <v>55.016393442622949</v>
      </c>
      <c r="D19" s="68" t="str">
        <f>IF(Tilmeldingsoversigt!$D$8="x",hovedret," ")</f>
        <v>Hovedret</v>
      </c>
      <c r="E19" s="69">
        <f ca="1">IF(D19=hovedret,Tilmeldingsoversigt!$C$16," ")</f>
        <v>55.016393442622949</v>
      </c>
      <c r="F19" s="68" t="str">
        <f>IF(Tilmeldingsoversigt!$E$8="x",hovedret," ")</f>
        <v>Hovedret</v>
      </c>
      <c r="G19" s="69">
        <f ca="1">IF(F19=hovedret,Tilmeldingsoversigt!$C$16," ")</f>
        <v>55.016393442622949</v>
      </c>
      <c r="H19" s="68" t="str">
        <f>IF(Tilmeldingsoversigt!$F$8="x",hovedret," ")</f>
        <v>Hovedret</v>
      </c>
      <c r="I19" s="69">
        <f ca="1">IF(H19=hovedret,Tilmeldingsoversigt!$C$16," ")</f>
        <v>55.016393442622949</v>
      </c>
      <c r="J19" s="68" t="str">
        <f>IF(Tilmeldingsoversigt!$G$8="x",hovedret," ")</f>
        <v>Hovedret</v>
      </c>
      <c r="K19" s="69">
        <f ca="1">IF(J19=hovedret,Tilmeldingsoversigt!$C$16," ")</f>
        <v>55.016393442622949</v>
      </c>
      <c r="L19" s="68" t="str">
        <f>IF(Tilmeldingsoversigt!$H$8="x",hovedret," ")</f>
        <v>Hovedret</v>
      </c>
      <c r="M19" s="69">
        <f ca="1">IF(L19=hovedret,Tilmeldingsoversigt!$C$16," ")</f>
        <v>55.016393442622949</v>
      </c>
      <c r="N19" s="68" t="str">
        <f>IF(Tilmeldingsoversigt!$I$8="x",hovedret," ")</f>
        <v>Hovedret</v>
      </c>
      <c r="O19" s="69">
        <f ca="1">IF(N19=hovedret,Tilmeldingsoversigt!$C$16," ")</f>
        <v>55.016393442622949</v>
      </c>
      <c r="P19" s="66"/>
    </row>
    <row r="20" spans="1:16" ht="11.25" customHeight="1" x14ac:dyDescent="0.25">
      <c r="A20" s="54"/>
      <c r="B20" s="68" t="str">
        <f>IF(Tilmeldingsoversigt!$C$9="x",Aftensmad," ")</f>
        <v>Aftensmad</v>
      </c>
      <c r="C20" s="69">
        <f ca="1">IF(B20=Aftensmad,Tilmeldingsoversigt!$C$17," ")</f>
        <v>27.540983606557376</v>
      </c>
      <c r="D20" s="68" t="str">
        <f>IF(Tilmeldingsoversigt!$D$9="x",Aftensmad," ")</f>
        <v>Aftensmad</v>
      </c>
      <c r="E20" s="69">
        <f ca="1">IF(D20=Aftensmad,Tilmeldingsoversigt!$C$17," ")</f>
        <v>27.540983606557376</v>
      </c>
      <c r="F20" s="68" t="str">
        <f>IF(Tilmeldingsoversigt!$E$9="x",Aftensmad," ")</f>
        <v>Aftensmad</v>
      </c>
      <c r="G20" s="69">
        <f ca="1">IF(F20=Aftensmad,Tilmeldingsoversigt!$C$17," ")</f>
        <v>27.540983606557376</v>
      </c>
      <c r="H20" s="68" t="str">
        <f>IF(Tilmeldingsoversigt!$F$9="x",Aftensmad," ")</f>
        <v>Aftensmad</v>
      </c>
      <c r="I20" s="69">
        <f ca="1">IF(H20=Aftensmad,Tilmeldingsoversigt!$C$17," ")</f>
        <v>27.540983606557376</v>
      </c>
      <c r="J20" s="68" t="str">
        <f>IF(Tilmeldingsoversigt!$G$9="x",Aftensmad," ")</f>
        <v>Aftensmad</v>
      </c>
      <c r="K20" s="69">
        <f ca="1">IF(J20=Aftensmad,Tilmeldingsoversigt!$C$17," ")</f>
        <v>27.540983606557376</v>
      </c>
      <c r="L20" s="68" t="str">
        <f>IF(Tilmeldingsoversigt!$H$9="x",Aftensmad," ")</f>
        <v>Aftensmad</v>
      </c>
      <c r="M20" s="69">
        <f ca="1">IF(L20=Aftensmad,Tilmeldingsoversigt!$C$17," ")</f>
        <v>27.540983606557376</v>
      </c>
      <c r="N20" s="68" t="str">
        <f>IF(Tilmeldingsoversigt!$I$9="x",Aftensmad," ")</f>
        <v>Aftensmad</v>
      </c>
      <c r="O20" s="69">
        <f ca="1">IF(N20=Aftensmad,Tilmeldingsoversigt!$C$17," ")</f>
        <v>27.540983606557376</v>
      </c>
      <c r="P20" s="66"/>
    </row>
    <row r="21" spans="1:16" ht="11.25" customHeight="1" x14ac:dyDescent="0.25">
      <c r="A21" s="54"/>
      <c r="B21" s="68" t="str">
        <f>IF(Tilmeldingsoversigt!$C$10="x",biret," ")</f>
        <v>Biret</v>
      </c>
      <c r="C21" s="69">
        <f>IF(B21=biret,biretpris," ")</f>
        <v>0</v>
      </c>
      <c r="D21" s="68" t="str">
        <f>IF(Tilmeldingsoversigt!$D$10="x",biret," ")</f>
        <v>Biret</v>
      </c>
      <c r="E21" s="69">
        <f>IF(D21=biret,biretpris," ")</f>
        <v>0</v>
      </c>
      <c r="F21" s="68" t="str">
        <f>IF(Tilmeldingsoversigt!$E$10="x",biret," ")</f>
        <v>Biret</v>
      </c>
      <c r="G21" s="69">
        <f>IF(F21=biret,biretpris," ")</f>
        <v>0</v>
      </c>
      <c r="H21" s="68" t="str">
        <f>IF(Tilmeldingsoversigt!$F$10="x",biret," ")</f>
        <v>Biret</v>
      </c>
      <c r="I21" s="69">
        <f>IF(H21=biret,biretpris," ")</f>
        <v>0</v>
      </c>
      <c r="J21" s="68" t="str">
        <f>IF(Tilmeldingsoversigt!$G$10="x",biret," ")</f>
        <v>Biret</v>
      </c>
      <c r="K21" s="69">
        <f>IF(J21=biret,biretpris," ")</f>
        <v>0</v>
      </c>
      <c r="L21" s="68" t="str">
        <f>IF(Tilmeldingsoversigt!$H$10="x",biret," ")</f>
        <v>Biret</v>
      </c>
      <c r="M21" s="69">
        <f>IF(L21=biret,biretpris," ")</f>
        <v>0</v>
      </c>
      <c r="N21" s="68" t="str">
        <f>IF(Tilmeldingsoversigt!$I$10="x",biret," ")</f>
        <v>Biret</v>
      </c>
      <c r="O21" s="70">
        <f>IF(N21=biret,biretpris," ")</f>
        <v>0</v>
      </c>
      <c r="P21" s="66"/>
    </row>
    <row r="22" spans="1:16" ht="11.25" customHeight="1" x14ac:dyDescent="0.25">
      <c r="A22" s="54"/>
      <c r="B22" s="71" t="str">
        <f>IF(Tilmeldingsoversigt!$C$11="x",mellemmåltid," ")</f>
        <v xml:space="preserve"> </v>
      </c>
      <c r="C22" s="72" t="str">
        <f>IF(B22=mellemmåltid,mellemmåltidspris," ")</f>
        <v xml:space="preserve"> </v>
      </c>
      <c r="D22" s="71" t="str">
        <f>IF(Tilmeldingsoversigt!$C$11="x",mellemmåltid," ")</f>
        <v xml:space="preserve"> </v>
      </c>
      <c r="E22" s="72" t="str">
        <f>IF(D22=mellemmåltid,mellemmåltidspris," ")</f>
        <v xml:space="preserve"> </v>
      </c>
      <c r="F22" s="71" t="str">
        <f>IF(Tilmeldingsoversigt!$C$11="x",mellemmåltid," ")</f>
        <v xml:space="preserve"> </v>
      </c>
      <c r="G22" s="72" t="str">
        <f>IF(F22=mellemmåltid,mellemmåltidspris," ")</f>
        <v xml:space="preserve"> </v>
      </c>
      <c r="H22" s="71" t="str">
        <f>IF(Tilmeldingsoversigt!$C$11="x",mellemmåltid," ")</f>
        <v xml:space="preserve"> </v>
      </c>
      <c r="I22" s="72" t="str">
        <f>IF(H22=mellemmåltid,mellemmåltidspris," ")</f>
        <v xml:space="preserve"> </v>
      </c>
      <c r="J22" s="71" t="str">
        <f>IF(Tilmeldingsoversigt!$C$11="x",mellemmåltid," ")</f>
        <v xml:space="preserve"> </v>
      </c>
      <c r="K22" s="72" t="str">
        <f>IF(J22=mellemmåltid,mellemmåltidspris," ")</f>
        <v xml:space="preserve"> </v>
      </c>
      <c r="L22" s="71" t="str">
        <f>IF(Tilmeldingsoversigt!$C$11="x",mellemmåltid," ")</f>
        <v xml:space="preserve"> </v>
      </c>
      <c r="M22" s="72" t="str">
        <f>IF(L22=mellemmåltid,mellemmåltidspris," ")</f>
        <v xml:space="preserve"> </v>
      </c>
      <c r="N22" s="71" t="str">
        <f>IF(Tilmeldingsoversigt!$C$11="x",mellemmåltid," ")</f>
        <v xml:space="preserve"> </v>
      </c>
      <c r="O22" s="73" t="str">
        <f>IF(N22=mellemmåltid,mellemmåltidspris," ")</f>
        <v xml:space="preserve"> </v>
      </c>
      <c r="P22" s="66"/>
    </row>
    <row r="23" spans="1:16" ht="11.25" customHeight="1" x14ac:dyDescent="0.25">
      <c r="B23" s="74" t="s">
        <v>44</v>
      </c>
      <c r="C23" s="11">
        <f ca="1">SUM(C18:C22)</f>
        <v>99.311475409836063</v>
      </c>
      <c r="D23" s="74"/>
      <c r="E23" s="11">
        <f ca="1">SUM(E18:E22)</f>
        <v>99.311475409836063</v>
      </c>
      <c r="F23" s="74"/>
      <c r="G23" s="11">
        <f ca="1">SUM(G18:G22)</f>
        <v>99.311475409836063</v>
      </c>
      <c r="H23" s="74"/>
      <c r="I23" s="11">
        <f ca="1">SUM(I18:I22)</f>
        <v>99.311475409836063</v>
      </c>
      <c r="J23" s="74"/>
      <c r="K23" s="11">
        <f ca="1">SUM(K18:K22)</f>
        <v>99.311475409836063</v>
      </c>
      <c r="L23" s="74"/>
      <c r="M23" s="11">
        <f ca="1">SUM(M18:M22)</f>
        <v>99.311475409836063</v>
      </c>
      <c r="N23" s="74"/>
      <c r="O23" s="12">
        <f ca="1">SUM(O18:O22)</f>
        <v>99.311475409836063</v>
      </c>
      <c r="P23" s="75">
        <f ca="1">SUM(C23,E23,G23,I23,K23,M23,O23)</f>
        <v>695.18032786885237</v>
      </c>
    </row>
    <row r="24" spans="1:16" ht="11.25" customHeight="1" x14ac:dyDescent="0.2">
      <c r="A24" s="49"/>
      <c r="B24" s="76"/>
      <c r="C24" s="77"/>
      <c r="D24" s="77"/>
      <c r="E24" s="77"/>
      <c r="F24" s="77"/>
      <c r="G24" s="77"/>
      <c r="H24" s="77"/>
      <c r="I24" s="77"/>
      <c r="J24" s="77"/>
      <c r="K24" s="77"/>
      <c r="L24" s="77"/>
      <c r="M24" s="77"/>
      <c r="N24" s="77"/>
      <c r="O24" s="77"/>
      <c r="P24" s="76"/>
    </row>
    <row r="25" spans="1:16" ht="15" customHeight="1" x14ac:dyDescent="0.25">
      <c r="A25" s="54"/>
      <c r="B25" s="78">
        <f>N16+1</f>
        <v>15</v>
      </c>
      <c r="C25" s="79"/>
      <c r="D25" s="78">
        <f>B25+1</f>
        <v>16</v>
      </c>
      <c r="E25" s="79"/>
      <c r="F25" s="78">
        <f>D25+1</f>
        <v>17</v>
      </c>
      <c r="G25" s="79"/>
      <c r="H25" s="78">
        <f>F25+1</f>
        <v>18</v>
      </c>
      <c r="I25" s="79"/>
      <c r="J25" s="78">
        <f>H25+1</f>
        <v>19</v>
      </c>
      <c r="K25" s="79"/>
      <c r="L25" s="78">
        <f>J25+1</f>
        <v>20</v>
      </c>
      <c r="M25" s="79"/>
      <c r="N25" s="78">
        <f>L25+1</f>
        <v>21</v>
      </c>
      <c r="O25" s="79"/>
      <c r="P25" s="80"/>
    </row>
    <row r="26" spans="1:16" ht="11.25" customHeight="1" x14ac:dyDescent="0.25">
      <c r="A26" s="54"/>
      <c r="B26" s="64" t="s">
        <v>42</v>
      </c>
      <c r="C26" s="81" t="s">
        <v>43</v>
      </c>
      <c r="D26" s="64" t="s">
        <v>42</v>
      </c>
      <c r="E26" s="81" t="s">
        <v>43</v>
      </c>
      <c r="F26" s="64" t="s">
        <v>42</v>
      </c>
      <c r="G26" s="81" t="s">
        <v>43</v>
      </c>
      <c r="H26" s="64" t="s">
        <v>42</v>
      </c>
      <c r="I26" s="81" t="s">
        <v>43</v>
      </c>
      <c r="J26" s="64" t="s">
        <v>42</v>
      </c>
      <c r="K26" s="81" t="s">
        <v>43</v>
      </c>
      <c r="L26" s="64" t="s">
        <v>42</v>
      </c>
      <c r="M26" s="81" t="s">
        <v>43</v>
      </c>
      <c r="N26" s="64" t="s">
        <v>42</v>
      </c>
      <c r="O26" s="82" t="s">
        <v>43</v>
      </c>
      <c r="P26" s="66"/>
    </row>
    <row r="27" spans="1:16" ht="11.25" customHeight="1" x14ac:dyDescent="0.25">
      <c r="A27" s="54"/>
      <c r="B27" s="136" t="str">
        <f>IF(Tilmeldingsoversigt!$C$7="x",Morgenmad," ")</f>
        <v>Morgenmad</v>
      </c>
      <c r="C27" s="67">
        <f ca="1">IF(B27=Morgenmad,Tilmeldingsoversigt!$C$15," ")</f>
        <v>16.754098360655739</v>
      </c>
      <c r="D27" s="136" t="str">
        <f>IF(Tilmeldingsoversigt!$D$7="x",Morgenmad," ")</f>
        <v>Morgenmad</v>
      </c>
      <c r="E27" s="67">
        <f ca="1">IF(D27=Morgenmad,Tilmeldingsoversigt!$C$15," ")</f>
        <v>16.754098360655739</v>
      </c>
      <c r="F27" s="136" t="str">
        <f>IF(Tilmeldingsoversigt!$E$7="x",Morgenmad," ")</f>
        <v>Morgenmad</v>
      </c>
      <c r="G27" s="67">
        <f ca="1">IF(F27=Morgenmad,Tilmeldingsoversigt!$C$15," ")</f>
        <v>16.754098360655739</v>
      </c>
      <c r="H27" s="136" t="str">
        <f>IF(Tilmeldingsoversigt!$F$7="x",Morgenmad," ")</f>
        <v>Morgenmad</v>
      </c>
      <c r="I27" s="67">
        <f ca="1">IF(H27=Morgenmad,Tilmeldingsoversigt!$C$15," ")</f>
        <v>16.754098360655739</v>
      </c>
      <c r="J27" s="136" t="str">
        <f>IF(Tilmeldingsoversigt!$G$7="x",Morgenmad," ")</f>
        <v>Morgenmad</v>
      </c>
      <c r="K27" s="67">
        <f ca="1">IF(J27=Morgenmad,Tilmeldingsoversigt!$C$15," ")</f>
        <v>16.754098360655739</v>
      </c>
      <c r="L27" s="136" t="str">
        <f>IF(Tilmeldingsoversigt!$H$7="x",Morgenmad," ")</f>
        <v>Morgenmad</v>
      </c>
      <c r="M27" s="67">
        <f ca="1">IF(L27=Morgenmad,Tilmeldingsoversigt!$C$15," ")</f>
        <v>16.754098360655739</v>
      </c>
      <c r="N27" s="136" t="str">
        <f>IF(Tilmeldingsoversigt!$I$7="x",Morgenmad," ")</f>
        <v>Morgenmad</v>
      </c>
      <c r="O27" s="83">
        <f ca="1">IF(N27=Morgenmad,Tilmeldingsoversigt!$C$15," ")</f>
        <v>16.754098360655739</v>
      </c>
      <c r="P27" s="66"/>
    </row>
    <row r="28" spans="1:16" ht="11.25" customHeight="1" x14ac:dyDescent="0.25">
      <c r="A28" s="54"/>
      <c r="B28" s="68" t="str">
        <f>IF(Tilmeldingsoversigt!$C$8="x",hovedret," ")</f>
        <v>Hovedret</v>
      </c>
      <c r="C28" s="69">
        <f ca="1">IF(B28=hovedret,Tilmeldingsoversigt!$C$16," ")</f>
        <v>55.016393442622949</v>
      </c>
      <c r="D28" s="68" t="str">
        <f>IF(Tilmeldingsoversigt!$D$8="x",hovedret," ")</f>
        <v>Hovedret</v>
      </c>
      <c r="E28" s="69">
        <f ca="1">IF(D28=hovedret,Tilmeldingsoversigt!$C$16," ")</f>
        <v>55.016393442622949</v>
      </c>
      <c r="F28" s="68" t="str">
        <f>IF(Tilmeldingsoversigt!$E$8="x",hovedret," ")</f>
        <v>Hovedret</v>
      </c>
      <c r="G28" s="69">
        <f ca="1">IF(F28=hovedret,Tilmeldingsoversigt!$C$16," ")</f>
        <v>55.016393442622949</v>
      </c>
      <c r="H28" s="68" t="str">
        <f>IF(Tilmeldingsoversigt!$F$8="x",hovedret," ")</f>
        <v>Hovedret</v>
      </c>
      <c r="I28" s="69">
        <f ca="1">IF(H28=hovedret,Tilmeldingsoversigt!$C$16," ")</f>
        <v>55.016393442622949</v>
      </c>
      <c r="J28" s="68" t="str">
        <f>IF(Tilmeldingsoversigt!$G$8="x",hovedret," ")</f>
        <v>Hovedret</v>
      </c>
      <c r="K28" s="69">
        <f ca="1">IF(J28=hovedret,Tilmeldingsoversigt!$C$16," ")</f>
        <v>55.016393442622949</v>
      </c>
      <c r="L28" s="68" t="str">
        <f>IF(Tilmeldingsoversigt!$H$8="x",hovedret," ")</f>
        <v>Hovedret</v>
      </c>
      <c r="M28" s="69">
        <f ca="1">IF(L28=hovedret,Tilmeldingsoversigt!$C$16," ")</f>
        <v>55.016393442622949</v>
      </c>
      <c r="N28" s="68" t="str">
        <f>IF(Tilmeldingsoversigt!$I$8="x",hovedret," ")</f>
        <v>Hovedret</v>
      </c>
      <c r="O28" s="70">
        <f ca="1">IF(N28=hovedret,Tilmeldingsoversigt!$C$16," ")</f>
        <v>55.016393442622949</v>
      </c>
      <c r="P28" s="66"/>
    </row>
    <row r="29" spans="1:16" ht="11.25" customHeight="1" x14ac:dyDescent="0.25">
      <c r="A29" s="54"/>
      <c r="B29" s="68" t="str">
        <f>IF(Tilmeldingsoversigt!$C$9="x",Aftensmad," ")</f>
        <v>Aftensmad</v>
      </c>
      <c r="C29" s="69">
        <f ca="1">IF(B29=Aftensmad,Tilmeldingsoversigt!$C$17," ")</f>
        <v>27.540983606557376</v>
      </c>
      <c r="D29" s="68" t="str">
        <f>IF(Tilmeldingsoversigt!$D$9="x",Aftensmad," ")</f>
        <v>Aftensmad</v>
      </c>
      <c r="E29" s="69">
        <f ca="1">IF(D29=Aftensmad,Tilmeldingsoversigt!$C$17," ")</f>
        <v>27.540983606557376</v>
      </c>
      <c r="F29" s="68" t="str">
        <f>IF(Tilmeldingsoversigt!$E$9="x",Aftensmad," ")</f>
        <v>Aftensmad</v>
      </c>
      <c r="G29" s="69">
        <f ca="1">IF(F29=Aftensmad,Tilmeldingsoversigt!$C$17," ")</f>
        <v>27.540983606557376</v>
      </c>
      <c r="H29" s="68" t="str">
        <f>IF(Tilmeldingsoversigt!$F$9="x",Aftensmad," ")</f>
        <v>Aftensmad</v>
      </c>
      <c r="I29" s="69">
        <f ca="1">IF(H29=Aftensmad,Tilmeldingsoversigt!$C$17," ")</f>
        <v>27.540983606557376</v>
      </c>
      <c r="J29" s="68" t="str">
        <f>IF(Tilmeldingsoversigt!$G$9="x",Aftensmad," ")</f>
        <v>Aftensmad</v>
      </c>
      <c r="K29" s="69">
        <f ca="1">IF(J29=Aftensmad,Tilmeldingsoversigt!$C$17," ")</f>
        <v>27.540983606557376</v>
      </c>
      <c r="L29" s="68" t="str">
        <f>IF(Tilmeldingsoversigt!$H$9="x",Aftensmad," ")</f>
        <v>Aftensmad</v>
      </c>
      <c r="M29" s="69">
        <f ca="1">IF(L29=Aftensmad,Tilmeldingsoversigt!$C$17," ")</f>
        <v>27.540983606557376</v>
      </c>
      <c r="N29" s="68" t="str">
        <f>IF(Tilmeldingsoversigt!$I$9="x",Aftensmad," ")</f>
        <v>Aftensmad</v>
      </c>
      <c r="O29" s="70">
        <f ca="1">IF(N29=Aftensmad,Tilmeldingsoversigt!$C$17," ")</f>
        <v>27.540983606557376</v>
      </c>
      <c r="P29" s="66"/>
    </row>
    <row r="30" spans="1:16" ht="11.25" customHeight="1" x14ac:dyDescent="0.25">
      <c r="A30" s="54"/>
      <c r="B30" s="68" t="str">
        <f>IF(Tilmeldingsoversigt!$C$10="x",biret," ")</f>
        <v>Biret</v>
      </c>
      <c r="C30" s="69">
        <f>IF(B30=biret,biretpris," ")</f>
        <v>0</v>
      </c>
      <c r="D30" s="68" t="str">
        <f>IF(Tilmeldingsoversigt!$D$10="x",biret," ")</f>
        <v>Biret</v>
      </c>
      <c r="E30" s="69">
        <f>IF(D30=biret,biretpris," ")</f>
        <v>0</v>
      </c>
      <c r="F30" s="68" t="str">
        <f>IF(Tilmeldingsoversigt!$E$10="x",biret," ")</f>
        <v>Biret</v>
      </c>
      <c r="G30" s="69">
        <f>IF(F30=biret,biretpris," ")</f>
        <v>0</v>
      </c>
      <c r="H30" s="68" t="str">
        <f>IF(Tilmeldingsoversigt!$F$10="x",biret," ")</f>
        <v>Biret</v>
      </c>
      <c r="I30" s="69">
        <f>IF(H30=biret,biretpris," ")</f>
        <v>0</v>
      </c>
      <c r="J30" s="68" t="str">
        <f>IF(Tilmeldingsoversigt!$G$10="x",biret," ")</f>
        <v>Biret</v>
      </c>
      <c r="K30" s="69">
        <f>IF(J30=biret,biretpris," ")</f>
        <v>0</v>
      </c>
      <c r="L30" s="68" t="str">
        <f>IF(Tilmeldingsoversigt!$H$10="x",biret," ")</f>
        <v>Biret</v>
      </c>
      <c r="M30" s="69">
        <f>IF(L30=biret,biretpris," ")</f>
        <v>0</v>
      </c>
      <c r="N30" s="68" t="str">
        <f>IF(Tilmeldingsoversigt!$I$10="x",biret," ")</f>
        <v>Biret</v>
      </c>
      <c r="O30" s="70">
        <f>IF(N30=biret,biretpris," ")</f>
        <v>0</v>
      </c>
      <c r="P30" s="66"/>
    </row>
    <row r="31" spans="1:16" ht="11.25" customHeight="1" x14ac:dyDescent="0.25">
      <c r="A31" s="54"/>
      <c r="B31" s="71" t="str">
        <f>IF(Tilmeldingsoversigt!$C$11="x",mellemmåltid," ")</f>
        <v xml:space="preserve"> </v>
      </c>
      <c r="C31" s="72" t="str">
        <f>IF(B31=mellemmåltid,mellemmåltidspris," ")</f>
        <v xml:space="preserve"> </v>
      </c>
      <c r="D31" s="71" t="str">
        <f>IF(Tilmeldingsoversigt!$C$11="x",mellemmåltid," ")</f>
        <v xml:space="preserve"> </v>
      </c>
      <c r="E31" s="72" t="str">
        <f>IF(D31=mellemmåltid,mellemmåltidspris," ")</f>
        <v xml:space="preserve"> </v>
      </c>
      <c r="F31" s="71" t="str">
        <f>IF(Tilmeldingsoversigt!$C$11="x",mellemmåltid," ")</f>
        <v xml:space="preserve"> </v>
      </c>
      <c r="G31" s="72" t="str">
        <f>IF(F31=mellemmåltid,mellemmåltidspris," ")</f>
        <v xml:space="preserve"> </v>
      </c>
      <c r="H31" s="71" t="str">
        <f>IF(Tilmeldingsoversigt!$C$11="x",mellemmåltid," ")</f>
        <v xml:space="preserve"> </v>
      </c>
      <c r="I31" s="72" t="str">
        <f>IF(H31=mellemmåltid,mellemmåltidspris," ")</f>
        <v xml:space="preserve"> </v>
      </c>
      <c r="J31" s="71" t="str">
        <f>IF(Tilmeldingsoversigt!$C$11="x",mellemmåltid," ")</f>
        <v xml:space="preserve"> </v>
      </c>
      <c r="K31" s="72" t="str">
        <f>IF(J31=mellemmåltid,mellemmåltidspris," ")</f>
        <v xml:space="preserve"> </v>
      </c>
      <c r="L31" s="71" t="str">
        <f>IF(Tilmeldingsoversigt!$C$11="x",mellemmåltid," ")</f>
        <v xml:space="preserve"> </v>
      </c>
      <c r="M31" s="72" t="str">
        <f>IF(L31=mellemmåltid,mellemmåltidspris," ")</f>
        <v xml:space="preserve"> </v>
      </c>
      <c r="N31" s="71" t="str">
        <f>IF(Tilmeldingsoversigt!$C$11="x",mellemmåltid," ")</f>
        <v xml:space="preserve"> </v>
      </c>
      <c r="O31" s="73" t="str">
        <f>IF(N31=mellemmåltid,mellemmåltidspris," ")</f>
        <v xml:space="preserve"> </v>
      </c>
      <c r="P31" s="66"/>
    </row>
    <row r="32" spans="1:16" ht="11.25" customHeight="1" x14ac:dyDescent="0.25">
      <c r="B32" s="84" t="s">
        <v>44</v>
      </c>
      <c r="C32" s="11">
        <f ca="1">SUM(C27:C31)</f>
        <v>99.311475409836063</v>
      </c>
      <c r="D32" s="74"/>
      <c r="E32" s="11">
        <f ca="1">SUM(E27:E31)</f>
        <v>99.311475409836063</v>
      </c>
      <c r="F32" s="74"/>
      <c r="G32" s="11">
        <f ca="1">SUM(G27:G31)</f>
        <v>99.311475409836063</v>
      </c>
      <c r="H32" s="74"/>
      <c r="I32" s="11">
        <f ca="1">SUM(I27:I31)</f>
        <v>99.311475409836063</v>
      </c>
      <c r="J32" s="74"/>
      <c r="K32" s="11">
        <f ca="1">SUM(K27:K31)</f>
        <v>99.311475409836063</v>
      </c>
      <c r="L32" s="74"/>
      <c r="M32" s="11">
        <f ca="1">SUM(M27:M31)</f>
        <v>99.311475409836063</v>
      </c>
      <c r="N32" s="74"/>
      <c r="O32" s="12">
        <f ca="1">SUM(O27:O31)</f>
        <v>99.311475409836063</v>
      </c>
      <c r="P32" s="75">
        <f ca="1">SUM(C32,E32,G32,I32,K32,M32,O32)</f>
        <v>695.18032786885237</v>
      </c>
    </row>
    <row r="33" spans="1:16" ht="11.25" customHeight="1" x14ac:dyDescent="0.2">
      <c r="A33" s="49"/>
      <c r="B33" s="76"/>
      <c r="C33" s="77"/>
      <c r="D33" s="77"/>
      <c r="E33" s="77"/>
      <c r="F33" s="77"/>
      <c r="G33" s="77"/>
      <c r="H33" s="77"/>
      <c r="I33" s="77"/>
      <c r="J33" s="77"/>
      <c r="K33" s="77"/>
      <c r="L33" s="77"/>
      <c r="M33" s="77"/>
      <c r="N33" s="77"/>
      <c r="O33" s="77"/>
      <c r="P33" s="76"/>
    </row>
    <row r="34" spans="1:16" ht="15" customHeight="1" x14ac:dyDescent="0.25">
      <c r="A34" s="54"/>
      <c r="B34" s="78">
        <f>N25+1</f>
        <v>22</v>
      </c>
      <c r="C34" s="79"/>
      <c r="D34" s="78">
        <f>B34+1</f>
        <v>23</v>
      </c>
      <c r="E34" s="79"/>
      <c r="F34" s="78">
        <f>D34+1</f>
        <v>24</v>
      </c>
      <c r="G34" s="79"/>
      <c r="H34" s="78">
        <f>F34+1</f>
        <v>25</v>
      </c>
      <c r="I34" s="79"/>
      <c r="J34" s="78">
        <f>H34+1</f>
        <v>26</v>
      </c>
      <c r="K34" s="79"/>
      <c r="L34" s="78">
        <f>J34+1</f>
        <v>27</v>
      </c>
      <c r="M34" s="79"/>
      <c r="N34" s="78">
        <f>L34+1</f>
        <v>28</v>
      </c>
      <c r="O34" s="79"/>
      <c r="P34" s="80"/>
    </row>
    <row r="35" spans="1:16" ht="11.25" customHeight="1" x14ac:dyDescent="0.25">
      <c r="A35" s="54"/>
      <c r="B35" s="64" t="s">
        <v>42</v>
      </c>
      <c r="C35" s="81" t="s">
        <v>43</v>
      </c>
      <c r="D35" s="64" t="s">
        <v>42</v>
      </c>
      <c r="E35" s="81" t="s">
        <v>43</v>
      </c>
      <c r="F35" s="64" t="s">
        <v>42</v>
      </c>
      <c r="G35" s="81" t="s">
        <v>43</v>
      </c>
      <c r="H35" s="64" t="s">
        <v>42</v>
      </c>
      <c r="I35" s="81" t="s">
        <v>43</v>
      </c>
      <c r="J35" s="64" t="s">
        <v>42</v>
      </c>
      <c r="K35" s="81" t="s">
        <v>43</v>
      </c>
      <c r="L35" s="64" t="s">
        <v>42</v>
      </c>
      <c r="M35" s="81" t="s">
        <v>43</v>
      </c>
      <c r="N35" s="64" t="s">
        <v>42</v>
      </c>
      <c r="O35" s="82" t="s">
        <v>43</v>
      </c>
      <c r="P35" s="66"/>
    </row>
    <row r="36" spans="1:16" ht="11.25" customHeight="1" x14ac:dyDescent="0.25">
      <c r="A36" s="54"/>
      <c r="B36" s="136" t="str">
        <f>IF(Tilmeldingsoversigt!$C$7="x",Morgenmad," ")</f>
        <v>Morgenmad</v>
      </c>
      <c r="C36" s="67">
        <f ca="1">IF(B36=Morgenmad,Tilmeldingsoversigt!$C$15," ")</f>
        <v>16.754098360655739</v>
      </c>
      <c r="D36" s="136" t="str">
        <f>IF(Tilmeldingsoversigt!$D$7="x",Morgenmad," ")</f>
        <v>Morgenmad</v>
      </c>
      <c r="E36" s="67">
        <f ca="1">IF(D36=Morgenmad,Tilmeldingsoversigt!$C$15," ")</f>
        <v>16.754098360655739</v>
      </c>
      <c r="F36" s="136" t="str">
        <f>IF(Tilmeldingsoversigt!$E$7="x",Morgenmad," ")</f>
        <v>Morgenmad</v>
      </c>
      <c r="G36" s="67">
        <f ca="1">IF(F36=Morgenmad,Tilmeldingsoversigt!$C$15," ")</f>
        <v>16.754098360655739</v>
      </c>
      <c r="H36" s="136" t="str">
        <f>IF(Tilmeldingsoversigt!$F$7="x",Morgenmad," ")</f>
        <v>Morgenmad</v>
      </c>
      <c r="I36" s="67">
        <f ca="1">IF(H36=Morgenmad,Tilmeldingsoversigt!$C$15," ")</f>
        <v>16.754098360655739</v>
      </c>
      <c r="J36" s="136" t="str">
        <f>IF(Tilmeldingsoversigt!$G$7="x",Morgenmad," ")</f>
        <v>Morgenmad</v>
      </c>
      <c r="K36" s="67">
        <f ca="1">IF(J36=Morgenmad,Tilmeldingsoversigt!$C$15," ")</f>
        <v>16.754098360655739</v>
      </c>
      <c r="L36" s="136" t="str">
        <f>IF(Tilmeldingsoversigt!$H$7="x",Morgenmad," ")</f>
        <v>Morgenmad</v>
      </c>
      <c r="M36" s="67">
        <f ca="1">IF(L36=Morgenmad,Tilmeldingsoversigt!$C$15," ")</f>
        <v>16.754098360655739</v>
      </c>
      <c r="N36" s="136" t="str">
        <f>IF(Tilmeldingsoversigt!$I$7="x",Morgenmad," ")</f>
        <v>Morgenmad</v>
      </c>
      <c r="O36" s="67">
        <f ca="1">IF(N36=Morgenmad,Tilmeldingsoversigt!$C$15," ")</f>
        <v>16.754098360655739</v>
      </c>
      <c r="P36" s="66"/>
    </row>
    <row r="37" spans="1:16" ht="11.25" customHeight="1" x14ac:dyDescent="0.25">
      <c r="A37" s="54"/>
      <c r="B37" s="68" t="str">
        <f>IF(Tilmeldingsoversigt!$C$8="x",hovedret," ")</f>
        <v>Hovedret</v>
      </c>
      <c r="C37" s="69">
        <f ca="1">IF(B37=hovedret,Tilmeldingsoversigt!$C$16," ")</f>
        <v>55.016393442622949</v>
      </c>
      <c r="D37" s="68" t="str">
        <f>IF(Tilmeldingsoversigt!$D$8="x",hovedret," ")</f>
        <v>Hovedret</v>
      </c>
      <c r="E37" s="69">
        <f ca="1">IF(D37=hovedret,Tilmeldingsoversigt!$C$16," ")</f>
        <v>55.016393442622949</v>
      </c>
      <c r="F37" s="68" t="str">
        <f>IF(Tilmeldingsoversigt!$E$8="x",hovedret," ")</f>
        <v>Hovedret</v>
      </c>
      <c r="G37" s="69">
        <f ca="1">IF(F37=hovedret,Tilmeldingsoversigt!$C$16," ")</f>
        <v>55.016393442622949</v>
      </c>
      <c r="H37" s="68" t="str">
        <f>IF(Tilmeldingsoversigt!$F$8="x",hovedret," ")</f>
        <v>Hovedret</v>
      </c>
      <c r="I37" s="69">
        <f ca="1">IF(H37=hovedret,Tilmeldingsoversigt!$C$16," ")</f>
        <v>55.016393442622949</v>
      </c>
      <c r="J37" s="68" t="str">
        <f>IF(Tilmeldingsoversigt!$G$8="x",hovedret," ")</f>
        <v>Hovedret</v>
      </c>
      <c r="K37" s="69">
        <f ca="1">IF(J37=hovedret,Tilmeldingsoversigt!$C$16," ")</f>
        <v>55.016393442622949</v>
      </c>
      <c r="L37" s="68" t="str">
        <f>IF(Tilmeldingsoversigt!$H$8="x",hovedret," ")</f>
        <v>Hovedret</v>
      </c>
      <c r="M37" s="69">
        <f ca="1">IF(L37=hovedret,Tilmeldingsoversigt!$C$16," ")</f>
        <v>55.016393442622949</v>
      </c>
      <c r="N37" s="68" t="str">
        <f>IF(Tilmeldingsoversigt!$I$8="x",hovedret," ")</f>
        <v>Hovedret</v>
      </c>
      <c r="O37" s="69">
        <f ca="1">IF(N37=hovedret,Tilmeldingsoversigt!$C$16," ")</f>
        <v>55.016393442622949</v>
      </c>
      <c r="P37" s="66"/>
    </row>
    <row r="38" spans="1:16" ht="11.25" customHeight="1" x14ac:dyDescent="0.25">
      <c r="A38" s="54"/>
      <c r="B38" s="68" t="str">
        <f>IF(Tilmeldingsoversigt!$C$9="x",Aftensmad," ")</f>
        <v>Aftensmad</v>
      </c>
      <c r="C38" s="69">
        <f ca="1">IF(B38=Aftensmad,Tilmeldingsoversigt!$C$17," ")</f>
        <v>27.540983606557376</v>
      </c>
      <c r="D38" s="68" t="str">
        <f>IF(Tilmeldingsoversigt!$D$9="x",Aftensmad," ")</f>
        <v>Aftensmad</v>
      </c>
      <c r="E38" s="69">
        <f ca="1">IF(D38=Aftensmad,Tilmeldingsoversigt!$C$17," ")</f>
        <v>27.540983606557376</v>
      </c>
      <c r="F38" s="68" t="str">
        <f>IF(Tilmeldingsoversigt!$E$9="x",Aftensmad," ")</f>
        <v>Aftensmad</v>
      </c>
      <c r="G38" s="69">
        <f ca="1">IF(F38=Aftensmad,Tilmeldingsoversigt!$C$17," ")</f>
        <v>27.540983606557376</v>
      </c>
      <c r="H38" s="68" t="str">
        <f>IF(Tilmeldingsoversigt!$F$9="x",Aftensmad," ")</f>
        <v>Aftensmad</v>
      </c>
      <c r="I38" s="69">
        <f ca="1">IF(H38=Aftensmad,Tilmeldingsoversigt!$C$17," ")</f>
        <v>27.540983606557376</v>
      </c>
      <c r="J38" s="68" t="str">
        <f>IF(Tilmeldingsoversigt!$G$9="x",Aftensmad," ")</f>
        <v>Aftensmad</v>
      </c>
      <c r="K38" s="69">
        <f ca="1">IF(J38=Aftensmad,Tilmeldingsoversigt!$C$17," ")</f>
        <v>27.540983606557376</v>
      </c>
      <c r="L38" s="68" t="str">
        <f>IF(Tilmeldingsoversigt!$H$9="x",Aftensmad," ")</f>
        <v>Aftensmad</v>
      </c>
      <c r="M38" s="69">
        <f ca="1">IF(L38=Aftensmad,Tilmeldingsoversigt!$C$17," ")</f>
        <v>27.540983606557376</v>
      </c>
      <c r="N38" s="68" t="str">
        <f>IF(Tilmeldingsoversigt!$I$9="x",Aftensmad," ")</f>
        <v>Aftensmad</v>
      </c>
      <c r="O38" s="69">
        <f ca="1">IF(N38=Aftensmad,Tilmeldingsoversigt!$C$17," ")</f>
        <v>27.540983606557376</v>
      </c>
      <c r="P38" s="66"/>
    </row>
    <row r="39" spans="1:16" ht="11.25" customHeight="1" x14ac:dyDescent="0.25">
      <c r="A39" s="54"/>
      <c r="B39" s="68" t="str">
        <f>IF(Tilmeldingsoversigt!$C$10="x",biret," ")</f>
        <v>Biret</v>
      </c>
      <c r="C39" s="69">
        <f>IF(B39=biret,biretpris," ")</f>
        <v>0</v>
      </c>
      <c r="D39" s="68" t="str">
        <f>IF(Tilmeldingsoversigt!$D$10="x",biret," ")</f>
        <v>Biret</v>
      </c>
      <c r="E39" s="69">
        <f>IF(D39=biret,biretpris," ")</f>
        <v>0</v>
      </c>
      <c r="F39" s="68" t="str">
        <f>IF(Tilmeldingsoversigt!$E$10="x",biret," ")</f>
        <v>Biret</v>
      </c>
      <c r="G39" s="69">
        <f>IF(F39=biret,biretpris," ")</f>
        <v>0</v>
      </c>
      <c r="H39" s="68" t="str">
        <f>IF(Tilmeldingsoversigt!$F$10="x",biret," ")</f>
        <v>Biret</v>
      </c>
      <c r="I39" s="69">
        <f>IF(H39=biret,biretpris," ")</f>
        <v>0</v>
      </c>
      <c r="J39" s="68" t="str">
        <f>IF(Tilmeldingsoversigt!$G$10="x",biret," ")</f>
        <v>Biret</v>
      </c>
      <c r="K39" s="69">
        <f>IF(J39=biret,biretpris," ")</f>
        <v>0</v>
      </c>
      <c r="L39" s="68" t="str">
        <f>IF(Tilmeldingsoversigt!$H$10="x",biret," ")</f>
        <v>Biret</v>
      </c>
      <c r="M39" s="69">
        <f>IF(L39=biret,biretpris," ")</f>
        <v>0</v>
      </c>
      <c r="N39" s="68" t="str">
        <f>IF(Tilmeldingsoversigt!$I$10="x",biret," ")</f>
        <v>Biret</v>
      </c>
      <c r="O39" s="69">
        <f>IF(N39=biret,biretpris," ")</f>
        <v>0</v>
      </c>
      <c r="P39" s="66"/>
    </row>
    <row r="40" spans="1:16" ht="11.25" customHeight="1" x14ac:dyDescent="0.25">
      <c r="A40" s="54"/>
      <c r="B40" s="71" t="str">
        <f>IF(Tilmeldingsoversigt!$C$11="x",mellemmåltid," ")</f>
        <v xml:space="preserve"> </v>
      </c>
      <c r="C40" s="72" t="str">
        <f>IF(B40=mellemmåltid,mellemmåltidspris," ")</f>
        <v xml:space="preserve"> </v>
      </c>
      <c r="D40" s="71" t="str">
        <f>IF(Tilmeldingsoversigt!$C$11="x",mellemmåltid," ")</f>
        <v xml:space="preserve"> </v>
      </c>
      <c r="E40" s="72" t="str">
        <f>IF(D40=mellemmåltid,mellemmåltidspris," ")</f>
        <v xml:space="preserve"> </v>
      </c>
      <c r="F40" s="71" t="str">
        <f>IF(Tilmeldingsoversigt!$C$11="x",mellemmåltid," ")</f>
        <v xml:space="preserve"> </v>
      </c>
      <c r="G40" s="72" t="str">
        <f>IF(F40=mellemmåltid,mellemmåltidspris," ")</f>
        <v xml:space="preserve"> </v>
      </c>
      <c r="H40" s="71" t="str">
        <f>IF(Tilmeldingsoversigt!$C$11="x",mellemmåltid," ")</f>
        <v xml:space="preserve"> </v>
      </c>
      <c r="I40" s="72" t="str">
        <f>IF(H40=mellemmåltid,mellemmåltidspris," ")</f>
        <v xml:space="preserve"> </v>
      </c>
      <c r="J40" s="71" t="str">
        <f>IF(Tilmeldingsoversigt!$C$11="x",mellemmåltid," ")</f>
        <v xml:space="preserve"> </v>
      </c>
      <c r="K40" s="72" t="str">
        <f>IF(J40=mellemmåltid,mellemmåltidspris," ")</f>
        <v xml:space="preserve"> </v>
      </c>
      <c r="L40" s="71" t="str">
        <f>IF(Tilmeldingsoversigt!$C$11="x",mellemmåltid," ")</f>
        <v xml:space="preserve"> </v>
      </c>
      <c r="M40" s="72" t="str">
        <f>IF(L40=mellemmåltid,mellemmåltidspris," ")</f>
        <v xml:space="preserve"> </v>
      </c>
      <c r="N40" s="71" t="str">
        <f>IF(Tilmeldingsoversigt!$C$11="x",mellemmåltid," ")</f>
        <v xml:space="preserve"> </v>
      </c>
      <c r="O40" s="72" t="str">
        <f>IF(N40=mellemmåltid,mellemmåltidspris," ")</f>
        <v xml:space="preserve"> </v>
      </c>
      <c r="P40" s="66"/>
    </row>
    <row r="41" spans="1:16" ht="11.25" customHeight="1" x14ac:dyDescent="0.25">
      <c r="B41" s="74" t="s">
        <v>44</v>
      </c>
      <c r="C41" s="11">
        <f ca="1">SUM(C36:C40)</f>
        <v>99.311475409836063</v>
      </c>
      <c r="D41" s="74"/>
      <c r="E41" s="11">
        <f ca="1">SUM(E36:E40)</f>
        <v>99.311475409836063</v>
      </c>
      <c r="F41" s="74"/>
      <c r="G41" s="11">
        <f ca="1">SUM(G36:G40)</f>
        <v>99.311475409836063</v>
      </c>
      <c r="H41" s="74"/>
      <c r="I41" s="11">
        <f ca="1">SUM(I36:I40)</f>
        <v>99.311475409836063</v>
      </c>
      <c r="J41" s="74"/>
      <c r="K41" s="11">
        <f ca="1">SUM(K36:K40)</f>
        <v>99.311475409836063</v>
      </c>
      <c r="L41" s="74"/>
      <c r="M41" s="11">
        <f ca="1">SUM(M36:M40)</f>
        <v>99.311475409836063</v>
      </c>
      <c r="N41" s="74"/>
      <c r="O41" s="12">
        <f ca="1">SUM(O36:O40)</f>
        <v>99.311475409836063</v>
      </c>
      <c r="P41" s="75">
        <f ca="1">SUM(C41,E41,G41,I41,K41,M41,O41)</f>
        <v>695.18032786885237</v>
      </c>
    </row>
    <row r="42" spans="1:16" ht="11.25" customHeight="1" x14ac:dyDescent="0.2">
      <c r="A42" s="49"/>
      <c r="B42" s="76"/>
      <c r="C42" s="77"/>
      <c r="D42" s="77"/>
      <c r="E42" s="77"/>
      <c r="F42" s="77"/>
      <c r="G42" s="77"/>
      <c r="H42" s="77"/>
      <c r="I42" s="77"/>
      <c r="J42" s="77"/>
      <c r="K42" s="77"/>
      <c r="L42" s="77"/>
      <c r="M42" s="77"/>
      <c r="N42" s="77"/>
      <c r="O42" s="77"/>
      <c r="P42" s="76"/>
    </row>
    <row r="43" spans="1:16" ht="15" customHeight="1" x14ac:dyDescent="0.25">
      <c r="A43" s="54"/>
      <c r="B43" s="78">
        <f>DAY(IF(DAY(JanSøn1)=1,JanSøn1+22,JanSøn1+29))</f>
        <v>29</v>
      </c>
      <c r="C43" s="79"/>
      <c r="D43" s="78">
        <f>DAY(IF(DAY(JanSøn1)=1,JanSøn1+23,JanSøn1+30))</f>
        <v>30</v>
      </c>
      <c r="E43" s="79"/>
      <c r="F43" s="78">
        <f>DAY(IF(DAY(JanSøn1)=1,JanSøn1+24,JanSøn1+31))</f>
        <v>31</v>
      </c>
      <c r="G43" s="79"/>
      <c r="H43" s="78">
        <f>DAY(IF(DAY(JanSøn1)=1,JanSøn1+25,JanSøn1+32))</f>
        <v>1</v>
      </c>
      <c r="I43" s="79"/>
      <c r="J43" s="78">
        <f>DAY(IF(DAY(JanSøn1)=1,JanSøn1+26,JanSøn1+33))</f>
        <v>2</v>
      </c>
      <c r="K43" s="79"/>
      <c r="L43" s="78">
        <f>DAY(IF(DAY(JanSøn1)=1,JanSøn1+27,JanSøn1+34))</f>
        <v>3</v>
      </c>
      <c r="M43" s="79"/>
      <c r="N43" s="78">
        <f>DAY(IF(DAY(JanSøn1)=1,JanSøn1+28,JanSøn1+35))</f>
        <v>4</v>
      </c>
      <c r="O43" s="79"/>
      <c r="P43" s="85"/>
    </row>
    <row r="44" spans="1:16" ht="11.25" customHeight="1" x14ac:dyDescent="0.25">
      <c r="A44" s="54"/>
      <c r="B44" s="64" t="s">
        <v>42</v>
      </c>
      <c r="C44" s="81" t="s">
        <v>43</v>
      </c>
      <c r="D44" s="64" t="s">
        <v>42</v>
      </c>
      <c r="E44" s="81" t="s">
        <v>43</v>
      </c>
      <c r="F44" s="64" t="s">
        <v>42</v>
      </c>
      <c r="G44" s="81" t="s">
        <v>43</v>
      </c>
      <c r="H44" s="64" t="s">
        <v>42</v>
      </c>
      <c r="I44" s="81" t="s">
        <v>43</v>
      </c>
      <c r="J44" s="64" t="s">
        <v>42</v>
      </c>
      <c r="K44" s="81" t="s">
        <v>43</v>
      </c>
      <c r="L44" s="64" t="s">
        <v>42</v>
      </c>
      <c r="M44" s="81" t="s">
        <v>43</v>
      </c>
      <c r="N44" s="64" t="s">
        <v>42</v>
      </c>
      <c r="O44" s="82" t="s">
        <v>43</v>
      </c>
      <c r="P44" s="66"/>
    </row>
    <row r="45" spans="1:16" ht="11.25" customHeight="1" x14ac:dyDescent="0.25">
      <c r="A45" s="54"/>
      <c r="B45" s="136" t="str">
        <f>IF(Tilmeldingsoversigt!$C$7="x",Morgenmad," ")</f>
        <v>Morgenmad</v>
      </c>
      <c r="C45" s="67">
        <f ca="1">IF(B45=Morgenmad,Tilmeldingsoversigt!$C$15," ")</f>
        <v>16.754098360655739</v>
      </c>
      <c r="D45" s="136" t="str">
        <f>IF(Tilmeldingsoversigt!$D$7="x",Morgenmad," ")</f>
        <v>Morgenmad</v>
      </c>
      <c r="E45" s="67">
        <f ca="1">IF(D45=Morgenmad,Tilmeldingsoversigt!$C$15," ")</f>
        <v>16.754098360655739</v>
      </c>
      <c r="F45" s="136" t="str">
        <f>IF(Tilmeldingsoversigt!$E$7="x",Morgenmad," ")</f>
        <v>Morgenmad</v>
      </c>
      <c r="G45" s="67">
        <f ca="1">IF(F45=Morgenmad,Tilmeldingsoversigt!$C$15," ")</f>
        <v>16.754098360655739</v>
      </c>
      <c r="H45" s="136" t="str">
        <f>IF(Tilmeldingsoversigt!$F$7="x",Morgenmad," ")</f>
        <v>Morgenmad</v>
      </c>
      <c r="I45" s="67">
        <f ca="1">IF(H45=Morgenmad,Tilmeldingsoversigt!$C$15," ")</f>
        <v>16.754098360655739</v>
      </c>
      <c r="J45" s="136" t="str">
        <f>IF(Tilmeldingsoversigt!$G$7="x",Morgenmad," ")</f>
        <v>Morgenmad</v>
      </c>
      <c r="K45" s="67">
        <f ca="1">IF(J45=Morgenmad,Tilmeldingsoversigt!$C$15," ")</f>
        <v>16.754098360655739</v>
      </c>
      <c r="L45" s="136" t="str">
        <f>IF(Tilmeldingsoversigt!$H$7="x",Morgenmad," ")</f>
        <v>Morgenmad</v>
      </c>
      <c r="M45" s="67">
        <f ca="1">IF(L45=Morgenmad,Tilmeldingsoversigt!$C$15," ")</f>
        <v>16.754098360655739</v>
      </c>
      <c r="N45" s="136" t="str">
        <f>IF(Tilmeldingsoversigt!$I$7="x",Morgenmad," ")</f>
        <v>Morgenmad</v>
      </c>
      <c r="O45" s="67">
        <f ca="1">IF(N45=Morgenmad,Tilmeldingsoversigt!$C$15," ")</f>
        <v>16.754098360655739</v>
      </c>
      <c r="P45" s="66"/>
    </row>
    <row r="46" spans="1:16" ht="11.25" customHeight="1" x14ac:dyDescent="0.25">
      <c r="A46" s="54"/>
      <c r="B46" s="68" t="str">
        <f>IF(Tilmeldingsoversigt!$C$8="x",hovedret," ")</f>
        <v>Hovedret</v>
      </c>
      <c r="C46" s="69">
        <f ca="1">IF(B46=hovedret,Tilmeldingsoversigt!$C$16," ")</f>
        <v>55.016393442622949</v>
      </c>
      <c r="D46" s="68" t="str">
        <f>IF(Tilmeldingsoversigt!$D$8="x",hovedret," ")</f>
        <v>Hovedret</v>
      </c>
      <c r="E46" s="69">
        <f ca="1">IF(D46=hovedret,Tilmeldingsoversigt!$C$16," ")</f>
        <v>55.016393442622949</v>
      </c>
      <c r="F46" s="68" t="str">
        <f>IF(Tilmeldingsoversigt!$E$8="x",hovedret," ")</f>
        <v>Hovedret</v>
      </c>
      <c r="G46" s="69">
        <f ca="1">IF(F46=hovedret,Tilmeldingsoversigt!$C$16," ")</f>
        <v>55.016393442622949</v>
      </c>
      <c r="H46" s="68" t="str">
        <f>IF(Tilmeldingsoversigt!$F$8="x",hovedret," ")</f>
        <v>Hovedret</v>
      </c>
      <c r="I46" s="69">
        <f ca="1">IF(H46=hovedret,Tilmeldingsoversigt!$C$16," ")</f>
        <v>55.016393442622949</v>
      </c>
      <c r="J46" s="68" t="str">
        <f>IF(Tilmeldingsoversigt!$G$8="x",hovedret," ")</f>
        <v>Hovedret</v>
      </c>
      <c r="K46" s="69">
        <f ca="1">IF(J46=hovedret,Tilmeldingsoversigt!$C$16," ")</f>
        <v>55.016393442622949</v>
      </c>
      <c r="L46" s="68" t="str">
        <f>IF(Tilmeldingsoversigt!$H$8="x",hovedret," ")</f>
        <v>Hovedret</v>
      </c>
      <c r="M46" s="69">
        <f ca="1">IF(L46=hovedret,Tilmeldingsoversigt!$C$16," ")</f>
        <v>55.016393442622949</v>
      </c>
      <c r="N46" s="68" t="str">
        <f>IF(Tilmeldingsoversigt!$I$8="x",hovedret," ")</f>
        <v>Hovedret</v>
      </c>
      <c r="O46" s="69">
        <f ca="1">IF(N46=hovedret,Tilmeldingsoversigt!$C$16," ")</f>
        <v>55.016393442622949</v>
      </c>
      <c r="P46" s="66"/>
    </row>
    <row r="47" spans="1:16" ht="11.25" customHeight="1" x14ac:dyDescent="0.25">
      <c r="A47" s="54"/>
      <c r="B47" s="68" t="str">
        <f>IF(Tilmeldingsoversigt!$C$9="x",Aftensmad," ")</f>
        <v>Aftensmad</v>
      </c>
      <c r="C47" s="69">
        <f ca="1">IF(B47=Aftensmad,Tilmeldingsoversigt!$C$17," ")</f>
        <v>27.540983606557376</v>
      </c>
      <c r="D47" s="68" t="str">
        <f>IF(Tilmeldingsoversigt!$D$9="x",Aftensmad," ")</f>
        <v>Aftensmad</v>
      </c>
      <c r="E47" s="69">
        <f ca="1">IF(D47=Aftensmad,Tilmeldingsoversigt!$C$17," ")</f>
        <v>27.540983606557376</v>
      </c>
      <c r="F47" s="68" t="str">
        <f>IF(Tilmeldingsoversigt!$E$9="x",Aftensmad," ")</f>
        <v>Aftensmad</v>
      </c>
      <c r="G47" s="69">
        <f ca="1">IF(F47=Aftensmad,Tilmeldingsoversigt!$C$17," ")</f>
        <v>27.540983606557376</v>
      </c>
      <c r="H47" s="68" t="str">
        <f>IF(Tilmeldingsoversigt!$F$9="x",Aftensmad," ")</f>
        <v>Aftensmad</v>
      </c>
      <c r="I47" s="69">
        <f ca="1">IF(H47=Aftensmad,Tilmeldingsoversigt!$C$17," ")</f>
        <v>27.540983606557376</v>
      </c>
      <c r="J47" s="68" t="str">
        <f>IF(Tilmeldingsoversigt!$G$9="x",Aftensmad," ")</f>
        <v>Aftensmad</v>
      </c>
      <c r="K47" s="69">
        <f ca="1">IF(J47=Aftensmad,Tilmeldingsoversigt!$C$17," ")</f>
        <v>27.540983606557376</v>
      </c>
      <c r="L47" s="68" t="str">
        <f>IF(Tilmeldingsoversigt!$H$9="x",Aftensmad," ")</f>
        <v>Aftensmad</v>
      </c>
      <c r="M47" s="69">
        <f ca="1">IF(L47=Aftensmad,Tilmeldingsoversigt!$C$17," ")</f>
        <v>27.540983606557376</v>
      </c>
      <c r="N47" s="68" t="str">
        <f>IF(Tilmeldingsoversigt!$I$9="x",Aftensmad," ")</f>
        <v>Aftensmad</v>
      </c>
      <c r="O47" s="69">
        <f ca="1">IF(N47=Aftensmad,Tilmeldingsoversigt!$C$17," ")</f>
        <v>27.540983606557376</v>
      </c>
      <c r="P47" s="66"/>
    </row>
    <row r="48" spans="1:16" ht="11.25" customHeight="1" x14ac:dyDescent="0.25">
      <c r="A48" s="54"/>
      <c r="B48" s="68" t="str">
        <f>IF(Tilmeldingsoversigt!$C$10="x",biret," ")</f>
        <v>Biret</v>
      </c>
      <c r="C48" s="69">
        <f>IF(B48=biret,biretpris," ")</f>
        <v>0</v>
      </c>
      <c r="D48" s="68" t="str">
        <f>IF(Tilmeldingsoversigt!$D$10="x",biret," ")</f>
        <v>Biret</v>
      </c>
      <c r="E48" s="69">
        <f>IF(D48=biret,biretpris," ")</f>
        <v>0</v>
      </c>
      <c r="F48" s="68" t="str">
        <f>IF(Tilmeldingsoversigt!$E$10="x",biret," ")</f>
        <v>Biret</v>
      </c>
      <c r="G48" s="69">
        <f>IF(F48=biret,biretpris," ")</f>
        <v>0</v>
      </c>
      <c r="H48" s="68" t="str">
        <f>IF(Tilmeldingsoversigt!$F$10="x",biret," ")</f>
        <v>Biret</v>
      </c>
      <c r="I48" s="69">
        <f>IF(H48=biret,biretpris," ")</f>
        <v>0</v>
      </c>
      <c r="J48" s="68" t="str">
        <f>IF(Tilmeldingsoversigt!$G$10="x",biret," ")</f>
        <v>Biret</v>
      </c>
      <c r="K48" s="69">
        <f>IF(J48=biret,biretpris," ")</f>
        <v>0</v>
      </c>
      <c r="L48" s="68" t="str">
        <f>IF(Tilmeldingsoversigt!$H$10="x",biret," ")</f>
        <v>Biret</v>
      </c>
      <c r="M48" s="69">
        <f>IF(L48=biret,biretpris," ")</f>
        <v>0</v>
      </c>
      <c r="N48" s="68" t="str">
        <f>IF(Tilmeldingsoversigt!$I$10="x",biret," ")</f>
        <v>Biret</v>
      </c>
      <c r="O48" s="69">
        <f>IF(N48=biret,biretpris," ")</f>
        <v>0</v>
      </c>
      <c r="P48" s="66"/>
    </row>
    <row r="49" spans="1:16" ht="11.25" customHeight="1" x14ac:dyDescent="0.25">
      <c r="A49" s="54"/>
      <c r="B49" s="71" t="str">
        <f>IF(Tilmeldingsoversigt!$C$11="x",mellemmåltid," ")</f>
        <v xml:space="preserve"> </v>
      </c>
      <c r="C49" s="72" t="str">
        <f>IF(B49=mellemmåltid,mellemmåltidspris," ")</f>
        <v xml:space="preserve"> </v>
      </c>
      <c r="D49" s="71" t="str">
        <f>IF(Tilmeldingsoversigt!$C$11="x",mellemmåltid," ")</f>
        <v xml:space="preserve"> </v>
      </c>
      <c r="E49" s="72" t="str">
        <f>IF(D49=mellemmåltid,mellemmåltidspris," ")</f>
        <v xml:space="preserve"> </v>
      </c>
      <c r="F49" s="71" t="str">
        <f>IF(Tilmeldingsoversigt!$C$11="x",mellemmåltid," ")</f>
        <v xml:space="preserve"> </v>
      </c>
      <c r="G49" s="72" t="str">
        <f>IF(F49=mellemmåltid,mellemmåltidspris," ")</f>
        <v xml:space="preserve"> </v>
      </c>
      <c r="H49" s="71" t="str">
        <f>IF(Tilmeldingsoversigt!$C$11="x",mellemmåltid," ")</f>
        <v xml:space="preserve"> </v>
      </c>
      <c r="I49" s="72" t="str">
        <f>IF(H49=mellemmåltid,mellemmåltidspris," ")</f>
        <v xml:space="preserve"> </v>
      </c>
      <c r="J49" s="71" t="str">
        <f>IF(Tilmeldingsoversigt!$C$11="x",mellemmåltid," ")</f>
        <v xml:space="preserve"> </v>
      </c>
      <c r="K49" s="72" t="str">
        <f>IF(J49=mellemmåltid,mellemmåltidspris," ")</f>
        <v xml:space="preserve"> </v>
      </c>
      <c r="L49" s="71" t="str">
        <f>IF(Tilmeldingsoversigt!$C$11="x",mellemmåltid," ")</f>
        <v xml:space="preserve"> </v>
      </c>
      <c r="M49" s="72" t="str">
        <f>IF(L49=mellemmåltid,mellemmåltidspris," ")</f>
        <v xml:space="preserve"> </v>
      </c>
      <c r="N49" s="71" t="str">
        <f>IF(Tilmeldingsoversigt!$C$11="x",mellemmåltid," ")</f>
        <v xml:space="preserve"> </v>
      </c>
      <c r="O49" s="72" t="str">
        <f>IF(N49=mellemmåltid,mellemmåltidspris," ")</f>
        <v xml:space="preserve"> </v>
      </c>
      <c r="P49" s="66"/>
    </row>
    <row r="50" spans="1:16" ht="11.25" customHeight="1" x14ac:dyDescent="0.25">
      <c r="B50" s="74" t="s">
        <v>44</v>
      </c>
      <c r="C50" s="11">
        <f ca="1">SUM(C45:C49)</f>
        <v>99.311475409836063</v>
      </c>
      <c r="D50" s="74"/>
      <c r="E50" s="11">
        <f ca="1">SUM(E45:E49)</f>
        <v>99.311475409836063</v>
      </c>
      <c r="F50" s="74"/>
      <c r="G50" s="11">
        <f ca="1">SUM(G45:G49)</f>
        <v>99.311475409836063</v>
      </c>
      <c r="H50" s="74"/>
      <c r="I50" s="11">
        <f ca="1">SUM(I45:I49)</f>
        <v>99.311475409836063</v>
      </c>
      <c r="J50" s="74"/>
      <c r="K50" s="11">
        <f ca="1">SUM(K45:K49)</f>
        <v>99.311475409836063</v>
      </c>
      <c r="L50" s="74"/>
      <c r="M50" s="11">
        <f ca="1">SUM(M45:M49)</f>
        <v>99.311475409836063</v>
      </c>
      <c r="N50" s="74"/>
      <c r="O50" s="12">
        <f ca="1">SUM(O45:O49)</f>
        <v>99.311475409836063</v>
      </c>
      <c r="P50" s="75">
        <f ca="1">SUMIF(B43:N43,"&gt;="&amp;15,C50:O50)</f>
        <v>297.93442622950818</v>
      </c>
    </row>
    <row r="51" spans="1:16" ht="11.25" customHeight="1" x14ac:dyDescent="0.2">
      <c r="A51" s="49"/>
      <c r="B51" s="76"/>
      <c r="C51" s="77"/>
      <c r="D51" s="77"/>
      <c r="E51" s="77"/>
      <c r="F51" s="77"/>
      <c r="G51" s="77"/>
      <c r="H51" s="77"/>
      <c r="I51" s="77"/>
      <c r="J51" s="77"/>
      <c r="K51" s="77"/>
      <c r="L51" s="77"/>
      <c r="M51" s="77"/>
      <c r="N51" s="77"/>
      <c r="O51" s="77"/>
      <c r="P51" s="76"/>
    </row>
    <row r="52" spans="1:16" ht="15" customHeight="1" x14ac:dyDescent="0.25">
      <c r="A52" s="54"/>
      <c r="B52" s="78">
        <f>DAY(IF(DAY(JanSøn1)=1,JanSøn1+29,JanSøn1+36))</f>
        <v>5</v>
      </c>
      <c r="C52" s="91"/>
      <c r="D52" s="78">
        <f>DAY(IF(DAY(JanSøn1)=1,JanSøn1+30,JanSøn1+37))</f>
        <v>6</v>
      </c>
      <c r="E52" s="79"/>
      <c r="F52" s="92">
        <f>DAY(IF(DAY(JanSøn1)=1,JanSøn1+31,JanSøn1+38))</f>
        <v>7</v>
      </c>
      <c r="G52" s="79"/>
      <c r="H52" s="78">
        <f>DAY(IF(DAY(JanSøn1)=1,JanSøn1+32,JanSøn1+39))</f>
        <v>8</v>
      </c>
      <c r="I52" s="79"/>
      <c r="J52" s="78">
        <f>DAY(IF(DAY(JanSøn1)=1,JanSøn1+33,JanSøn1+40))</f>
        <v>9</v>
      </c>
      <c r="K52" s="79"/>
      <c r="L52" s="78">
        <f>DAY(IF(DAY(JanSøn1)=1,JanSøn1+34,JanSøn1+41))</f>
        <v>10</v>
      </c>
      <c r="M52" s="79"/>
      <c r="N52" s="78">
        <f>DAY(IF(DAY(JanSøn1)=1,JanSøn1+35,JanSøn1+42))</f>
        <v>11</v>
      </c>
      <c r="O52" s="79"/>
      <c r="P52" s="85"/>
    </row>
    <row r="53" spans="1:16" ht="11.25" customHeight="1" x14ac:dyDescent="0.25">
      <c r="A53" s="54"/>
      <c r="B53" s="64" t="s">
        <v>42</v>
      </c>
      <c r="C53" s="81" t="s">
        <v>43</v>
      </c>
      <c r="D53" s="64" t="s">
        <v>42</v>
      </c>
      <c r="E53" s="81" t="s">
        <v>43</v>
      </c>
      <c r="F53" s="64" t="s">
        <v>42</v>
      </c>
      <c r="G53" s="81" t="s">
        <v>43</v>
      </c>
      <c r="H53" s="64" t="s">
        <v>42</v>
      </c>
      <c r="I53" s="81" t="s">
        <v>43</v>
      </c>
      <c r="J53" s="64" t="s">
        <v>42</v>
      </c>
      <c r="K53" s="81" t="s">
        <v>43</v>
      </c>
      <c r="L53" s="64" t="s">
        <v>42</v>
      </c>
      <c r="M53" s="81" t="s">
        <v>43</v>
      </c>
      <c r="N53" s="64" t="s">
        <v>42</v>
      </c>
      <c r="O53" s="82" t="s">
        <v>43</v>
      </c>
      <c r="P53" s="66"/>
    </row>
    <row r="54" spans="1:16" ht="11.25" customHeight="1" x14ac:dyDescent="0.25">
      <c r="A54" s="54"/>
      <c r="B54" s="136" t="str">
        <f>IF(Tilmeldingsoversigt!$C$7="x",Morgenmad," ")</f>
        <v>Morgenmad</v>
      </c>
      <c r="C54" s="67">
        <f ca="1">IF(B54=Morgenmad,Tilmeldingsoversigt!$C$15," ")</f>
        <v>16.754098360655739</v>
      </c>
      <c r="D54" s="136"/>
      <c r="E54" s="67"/>
      <c r="F54" s="136"/>
      <c r="G54" s="67"/>
      <c r="H54" s="136"/>
      <c r="I54" s="67"/>
      <c r="J54" s="136"/>
      <c r="K54" s="67"/>
      <c r="L54" s="136"/>
      <c r="M54" s="67"/>
      <c r="N54" s="136"/>
      <c r="O54" s="83"/>
      <c r="P54" s="66"/>
    </row>
    <row r="55" spans="1:16" ht="11.25" customHeight="1" x14ac:dyDescent="0.25">
      <c r="A55" s="54"/>
      <c r="B55" s="68" t="str">
        <f>IF(Tilmeldingsoversigt!$C$8="x",hovedret," ")</f>
        <v>Hovedret</v>
      </c>
      <c r="C55" s="69">
        <f ca="1">IF(B55=hovedret,Tilmeldingsoversigt!$C$16," ")</f>
        <v>55.016393442622949</v>
      </c>
      <c r="D55" s="68"/>
      <c r="E55" s="69"/>
      <c r="F55" s="68"/>
      <c r="G55" s="69"/>
      <c r="H55" s="68"/>
      <c r="I55" s="69"/>
      <c r="J55" s="68"/>
      <c r="K55" s="69"/>
      <c r="L55" s="68"/>
      <c r="M55" s="69"/>
      <c r="N55" s="68"/>
      <c r="O55" s="70"/>
      <c r="P55" s="66"/>
    </row>
    <row r="56" spans="1:16" ht="11.25" customHeight="1" x14ac:dyDescent="0.25">
      <c r="A56" s="54"/>
      <c r="B56" s="68" t="str">
        <f>IF(Tilmeldingsoversigt!$C$9="x",Aftensmad," ")</f>
        <v>Aftensmad</v>
      </c>
      <c r="C56" s="69">
        <f ca="1">IF(B56=Aftensmad,Tilmeldingsoversigt!$C$17," ")</f>
        <v>27.540983606557376</v>
      </c>
      <c r="D56" s="68"/>
      <c r="E56" s="69"/>
      <c r="F56" s="68"/>
      <c r="G56" s="69"/>
      <c r="H56" s="68"/>
      <c r="I56" s="69"/>
      <c r="J56" s="68"/>
      <c r="K56" s="69"/>
      <c r="L56" s="68"/>
      <c r="M56" s="69"/>
      <c r="N56" s="68"/>
      <c r="O56" s="70"/>
      <c r="P56" s="66"/>
    </row>
    <row r="57" spans="1:16" ht="11.25" customHeight="1" x14ac:dyDescent="0.25">
      <c r="A57" s="54"/>
      <c r="B57" s="68" t="str">
        <f>IF(Tilmeldingsoversigt!$C$10="x",biret," ")</f>
        <v>Biret</v>
      </c>
      <c r="C57" s="69">
        <f>IF(B57=biret,biretpris," ")</f>
        <v>0</v>
      </c>
      <c r="D57" s="68"/>
      <c r="E57" s="69"/>
      <c r="F57" s="68"/>
      <c r="G57" s="69"/>
      <c r="H57" s="68"/>
      <c r="I57" s="69"/>
      <c r="J57" s="68"/>
      <c r="K57" s="69"/>
      <c r="L57" s="68"/>
      <c r="M57" s="69"/>
      <c r="N57" s="68"/>
      <c r="O57" s="70"/>
      <c r="P57" s="66"/>
    </row>
    <row r="58" spans="1:16" ht="11.25" customHeight="1" x14ac:dyDescent="0.25">
      <c r="A58" s="54"/>
      <c r="B58" s="71" t="str">
        <f>IF(Tilmeldingsoversigt!$C$11="x",mellemmåltid," ")</f>
        <v xml:space="preserve"> </v>
      </c>
      <c r="C58" s="72" t="str">
        <f>IF(B58=mellemmåltid,mellemmåltidspris," ")</f>
        <v xml:space="preserve"> </v>
      </c>
      <c r="D58" s="71"/>
      <c r="E58" s="72"/>
      <c r="F58" s="71"/>
      <c r="G58" s="72"/>
      <c r="H58" s="71"/>
      <c r="I58" s="72"/>
      <c r="J58" s="71"/>
      <c r="K58" s="72"/>
      <c r="L58" s="71"/>
      <c r="M58" s="72"/>
      <c r="N58" s="71"/>
      <c r="O58" s="73"/>
      <c r="P58" s="66"/>
    </row>
    <row r="59" spans="1:16" ht="11.25" customHeight="1" x14ac:dyDescent="0.25">
      <c r="B59" s="74" t="s">
        <v>44</v>
      </c>
      <c r="C59" s="11">
        <f ca="1">SUM(C54:C58)</f>
        <v>99.311475409836063</v>
      </c>
      <c r="D59" s="74"/>
      <c r="E59" s="11">
        <f>SUM(E54:E58)</f>
        <v>0</v>
      </c>
      <c r="F59" s="74"/>
      <c r="G59" s="11">
        <f>SUM(G54:G58)</f>
        <v>0</v>
      </c>
      <c r="H59" s="74"/>
      <c r="I59" s="11">
        <f>SUM(I54:I58)</f>
        <v>0</v>
      </c>
      <c r="J59" s="74"/>
      <c r="K59" s="11">
        <f>SUM(K54:K58)</f>
        <v>0</v>
      </c>
      <c r="L59" s="74"/>
      <c r="M59" s="11">
        <f>SUM(M54:M58)</f>
        <v>0</v>
      </c>
      <c r="N59" s="74"/>
      <c r="O59" s="12">
        <f>SUM(O54:O58)</f>
        <v>0</v>
      </c>
      <c r="P59" s="75">
        <f>SUMIF(B52:N52,"&gt;="&amp;15,C59:O59)</f>
        <v>0</v>
      </c>
    </row>
    <row r="60" spans="1:16" ht="18" customHeight="1" x14ac:dyDescent="0.2">
      <c r="A60" s="49"/>
      <c r="B60" s="76"/>
      <c r="C60" s="77"/>
      <c r="D60" s="77"/>
      <c r="E60" s="77"/>
      <c r="F60" s="77"/>
      <c r="G60" s="77"/>
      <c r="H60" s="77"/>
      <c r="I60" s="77"/>
      <c r="J60" s="77"/>
      <c r="K60" s="77"/>
      <c r="L60" s="77"/>
      <c r="M60" s="77"/>
      <c r="N60" s="77"/>
      <c r="O60" s="77"/>
      <c r="P60" s="76"/>
    </row>
    <row r="61" spans="1:16" ht="15" x14ac:dyDescent="0.25">
      <c r="B61" s="246" t="s">
        <v>45</v>
      </c>
      <c r="C61" s="246"/>
      <c r="D61" s="246"/>
      <c r="E61" s="246"/>
      <c r="F61" s="51" t="s">
        <v>82</v>
      </c>
      <c r="G61" s="51"/>
      <c r="H61" s="51"/>
      <c r="I61" s="51"/>
      <c r="J61" s="51"/>
      <c r="K61" s="51"/>
      <c r="L61" s="247" t="s">
        <v>83</v>
      </c>
      <c r="M61" s="247"/>
      <c r="N61" s="247" t="s">
        <v>84</v>
      </c>
      <c r="O61" s="247"/>
      <c r="P61" s="49"/>
    </row>
    <row r="62" spans="1:16" ht="25.5" customHeight="1" x14ac:dyDescent="0.25">
      <c r="B62" s="246"/>
      <c r="C62" s="246"/>
      <c r="D62" s="246"/>
      <c r="E62" s="246"/>
      <c r="F62" s="97" t="str">
        <f>Morgenmad</f>
        <v>Morgenmad</v>
      </c>
      <c r="G62" s="97">
        <f ca="1">IF(februar_sum=0,0,(COUNTIF(B68:O117,Morgenmad)))-'Tilmeldte måltider'!G62</f>
        <v>0</v>
      </c>
      <c r="H62" s="97" t="str">
        <f>hovedret</f>
        <v>Hovedret</v>
      </c>
      <c r="I62" s="97">
        <f ca="1">IF(februar_sum=0,0,(COUNTIF(B67:O116,hovedret)))-'Tilmeldte måltider'!I62</f>
        <v>0</v>
      </c>
      <c r="J62" s="97" t="str">
        <f>Aftensmad</f>
        <v>Aftensmad</v>
      </c>
      <c r="K62" s="97">
        <f ca="1">IF(februar_sum=0,0,(COUNTIF(B67:O116,Aftensmad)))-'Tilmeldte måltider'!K62</f>
        <v>0</v>
      </c>
      <c r="L62" s="268" t="e">
        <f ca="1">(G62*Morgenpris)+(I62*Frokostpris)+(K62*Aftenpris)+(G63*biretpris)+(I63*mellemmåltidspris)+(M63*gæstehpris)+(O63*gæstebpris)</f>
        <v>#VALUE!</v>
      </c>
      <c r="M62" s="269"/>
      <c r="N62" s="270" t="e">
        <f ca="1">$L$3+$L$62+$L$121+$L$180+$L$239+$L$298</f>
        <v>#VALUE!</v>
      </c>
      <c r="O62" s="271"/>
      <c r="P62" s="49"/>
    </row>
    <row r="63" spans="1:16" ht="25.5" customHeight="1" x14ac:dyDescent="0.45">
      <c r="B63" s="121"/>
      <c r="C63" s="121"/>
      <c r="D63" s="121"/>
      <c r="E63" s="121"/>
      <c r="F63" s="97" t="str">
        <f>biret</f>
        <v>Biret</v>
      </c>
      <c r="G63" s="97">
        <f ca="1">IF(februar_sum=0,0,(COUNTIF(B67:O108,biret)))-'Tilmeldte måltider'!G63</f>
        <v>0</v>
      </c>
      <c r="H63" s="97" t="str">
        <f>mellemmåltid</f>
        <v>Mellemmåltid</v>
      </c>
      <c r="I63" s="97">
        <f ca="1">IF(februar_sum=0,0,(COUNTIF(B68:O117,mellemmåltid)))-'Tilmeldte måltider'!I63</f>
        <v>0</v>
      </c>
      <c r="J63" s="140" t="s">
        <v>105</v>
      </c>
      <c r="K63" s="140"/>
      <c r="L63" s="141" t="s">
        <v>25</v>
      </c>
      <c r="M63" s="100"/>
      <c r="N63" s="141" t="s">
        <v>15</v>
      </c>
      <c r="O63" s="100"/>
      <c r="P63" s="49"/>
    </row>
    <row r="64" spans="1:16" ht="9" customHeight="1" x14ac:dyDescent="0.2">
      <c r="B64" s="251">
        <v>1</v>
      </c>
      <c r="C64" s="251"/>
      <c r="D64" s="251">
        <v>2</v>
      </c>
      <c r="E64" s="251"/>
      <c r="F64" s="251">
        <v>3</v>
      </c>
      <c r="G64" s="251"/>
      <c r="H64" s="251">
        <v>4</v>
      </c>
      <c r="I64" s="251"/>
      <c r="J64" s="251">
        <v>5</v>
      </c>
      <c r="K64" s="251"/>
      <c r="L64" s="251">
        <v>6</v>
      </c>
      <c r="M64" s="251"/>
      <c r="N64" s="251">
        <v>7</v>
      </c>
      <c r="O64" s="251"/>
      <c r="P64" s="50"/>
    </row>
    <row r="65" spans="2:16" ht="15" customHeight="1" x14ac:dyDescent="0.25">
      <c r="B65" s="252" t="s">
        <v>34</v>
      </c>
      <c r="C65" s="253"/>
      <c r="D65" s="254" t="s">
        <v>35</v>
      </c>
      <c r="E65" s="255" t="e">
        <f>IF(WEEKDAY(DATEVALUE(Month1&amp;" 1, "&amp;Year1))=COLUMN(#REF!),1,IF(LEN(C65)&gt;0,C65+1,""))</f>
        <v>#NAME?</v>
      </c>
      <c r="F65" s="253" t="s">
        <v>36</v>
      </c>
      <c r="G65" s="253" t="e">
        <f>IF(WEEKDAY(DATEVALUE(Month1&amp;" 1, "&amp;Year1))=COLUMN(#REF!),1,IF(LEN(E65)&gt;0,E65+1,""))</f>
        <v>#NAME?</v>
      </c>
      <c r="H65" s="254" t="s">
        <v>37</v>
      </c>
      <c r="I65" s="255" t="e">
        <f>IF(WEEKDAY(DATEVALUE(Month1&amp;" 1, "&amp;Year1))=COLUMN(#REF!),1,IF(LEN(G65)&gt;0,G65+1,""))</f>
        <v>#NAME?</v>
      </c>
      <c r="J65" s="256" t="s">
        <v>38</v>
      </c>
      <c r="K65" s="257" t="e">
        <f>IF(WEEKDAY(DATEVALUE(Month1&amp;" 1, "&amp;Year1))=COLUMN(#REF!),1,IF(LEN(I65)&gt;0,I65+1,""))</f>
        <v>#NAME?</v>
      </c>
      <c r="L65" s="258" t="s">
        <v>39</v>
      </c>
      <c r="M65" s="259" t="e">
        <f>IF(WEEKDAY(DATEVALUE(Month1&amp;" 1, "&amp;Year1))=COLUMN(#REF!),1,IF(LEN(K65)&gt;0,K65+1,""))</f>
        <v>#NAME?</v>
      </c>
      <c r="N65" s="258" t="s">
        <v>40</v>
      </c>
      <c r="O65" s="259" t="e">
        <f>IF(WEEKDAY(DATEVALUE(Month1&amp;" 1, "&amp;Year1))=COLUMN(#REF!),1,IF(LEN(M65)&gt;0,M65+1,""))</f>
        <v>#NAME?</v>
      </c>
      <c r="P65" s="53" t="s">
        <v>41</v>
      </c>
    </row>
    <row r="66" spans="2:16" ht="12.75" x14ac:dyDescent="0.25">
      <c r="B66" s="55">
        <f>DAY(IF(DAY(FebSøn1)=1,FebSøn1-6,FebSøn1+1))</f>
        <v>29</v>
      </c>
      <c r="C66" s="56"/>
      <c r="D66" s="57">
        <f>DAY(IF(DAY(FebSøn1)=1,FebSøn1-5,FebSøn1+2))</f>
        <v>30</v>
      </c>
      <c r="E66" s="56"/>
      <c r="F66" s="57">
        <f>DAY(IF(DAY(FebSøn1)=1,FebSøn1-4,FebSøn1+3))</f>
        <v>31</v>
      </c>
      <c r="G66" s="56"/>
      <c r="H66" s="57">
        <f>DAY(IF(DAY(FebSøn1)=1,FebSøn1-3,FebSøn1+4))</f>
        <v>1</v>
      </c>
      <c r="I66" s="56"/>
      <c r="J66" s="57">
        <f>DAY(IF(DAY(FebSøn1)=1,FebSøn1-2,FebSøn1+5))</f>
        <v>2</v>
      </c>
      <c r="K66" s="56"/>
      <c r="L66" s="57">
        <f>DAY(IF(DAY(FebSøn1)=1,FebSøn1-1,FebSøn1+6))</f>
        <v>3</v>
      </c>
      <c r="M66" s="56"/>
      <c r="N66" s="58">
        <f>DAY(IF(DAY(FebSøn1)=1,FebSøn1,FebSøn1+7))</f>
        <v>4</v>
      </c>
      <c r="O66" s="59"/>
      <c r="P66" s="60"/>
    </row>
    <row r="67" spans="2:16" x14ac:dyDescent="0.25">
      <c r="B67" s="61" t="s">
        <v>42</v>
      </c>
      <c r="C67" s="62" t="s">
        <v>43</v>
      </c>
      <c r="D67" s="63" t="s">
        <v>42</v>
      </c>
      <c r="E67" s="62" t="s">
        <v>43</v>
      </c>
      <c r="F67" s="63" t="s">
        <v>42</v>
      </c>
      <c r="G67" s="62" t="s">
        <v>43</v>
      </c>
      <c r="H67" s="63" t="s">
        <v>42</v>
      </c>
      <c r="I67" s="62" t="s">
        <v>43</v>
      </c>
      <c r="J67" s="63" t="s">
        <v>42</v>
      </c>
      <c r="K67" s="62" t="s">
        <v>43</v>
      </c>
      <c r="L67" s="63" t="s">
        <v>42</v>
      </c>
      <c r="M67" s="62" t="s">
        <v>43</v>
      </c>
      <c r="N67" s="64" t="s">
        <v>42</v>
      </c>
      <c r="O67" s="65" t="s">
        <v>43</v>
      </c>
      <c r="P67" s="66"/>
    </row>
    <row r="68" spans="2:16" x14ac:dyDescent="0.25">
      <c r="B68" s="136"/>
      <c r="C68" s="67"/>
      <c r="D68" s="136" t="str">
        <f>IF(Tilmeldingsoversigt!$D$7="x",Morgenmad," ")</f>
        <v>Morgenmad</v>
      </c>
      <c r="E68" s="67">
        <f ca="1">IF(D68=Morgenmad,Tilmeldingsoversigt!$C$15," ")</f>
        <v>16.754098360655739</v>
      </c>
      <c r="F68" s="136" t="str">
        <f>IF(Tilmeldingsoversigt!$E$7="x",Morgenmad," ")</f>
        <v>Morgenmad</v>
      </c>
      <c r="G68" s="67">
        <f ca="1">IF(F68=Morgenmad,Tilmeldingsoversigt!$C$15," ")</f>
        <v>16.754098360655739</v>
      </c>
      <c r="H68" s="136" t="str">
        <f>IF(Tilmeldingsoversigt!$F$7="x",Morgenmad," ")</f>
        <v>Morgenmad</v>
      </c>
      <c r="I68" s="67">
        <f ca="1">IF(H68=Morgenmad,Tilmeldingsoversigt!$C$15," ")</f>
        <v>16.754098360655739</v>
      </c>
      <c r="J68" s="136" t="str">
        <f>IF(Tilmeldingsoversigt!$G$7="x",Morgenmad," ")</f>
        <v>Morgenmad</v>
      </c>
      <c r="K68" s="67">
        <f ca="1">IF(J68=Morgenmad,Tilmeldingsoversigt!$C$15," ")</f>
        <v>16.754098360655739</v>
      </c>
      <c r="L68" s="136" t="str">
        <f>IF(Tilmeldingsoversigt!$H$7="x",Morgenmad," ")</f>
        <v>Morgenmad</v>
      </c>
      <c r="M68" s="67">
        <f ca="1">IF(L68=Morgenmad,Tilmeldingsoversigt!$C$15," ")</f>
        <v>16.754098360655739</v>
      </c>
      <c r="N68" s="136" t="str">
        <f>IF(Tilmeldingsoversigt!$I$7="x",Morgenmad," ")</f>
        <v>Morgenmad</v>
      </c>
      <c r="O68" s="83">
        <f ca="1">IF(N68=Morgenmad,Tilmeldingsoversigt!$C$15," ")</f>
        <v>16.754098360655739</v>
      </c>
      <c r="P68" s="66"/>
    </row>
    <row r="69" spans="2:16" x14ac:dyDescent="0.25">
      <c r="B69" s="68"/>
      <c r="C69" s="69"/>
      <c r="D69" s="68" t="str">
        <f>IF(Tilmeldingsoversigt!$D$8="x",hovedret," ")</f>
        <v>Hovedret</v>
      </c>
      <c r="E69" s="69">
        <f ca="1">IF(D69=hovedret,Tilmeldingsoversigt!$C$16," ")</f>
        <v>55.016393442622949</v>
      </c>
      <c r="F69" s="68" t="str">
        <f>IF(Tilmeldingsoversigt!$E$8="x",hovedret," ")</f>
        <v>Hovedret</v>
      </c>
      <c r="G69" s="69">
        <f ca="1">IF(F69=hovedret,Tilmeldingsoversigt!$C$16," ")</f>
        <v>55.016393442622949</v>
      </c>
      <c r="H69" s="68" t="str">
        <f>IF(Tilmeldingsoversigt!$F$8="x",hovedret," ")</f>
        <v>Hovedret</v>
      </c>
      <c r="I69" s="69">
        <f ca="1">IF(H69=hovedret,Tilmeldingsoversigt!$C$16," ")</f>
        <v>55.016393442622949</v>
      </c>
      <c r="J69" s="68" t="str">
        <f>IF(Tilmeldingsoversigt!$G$8="x",hovedret," ")</f>
        <v>Hovedret</v>
      </c>
      <c r="K69" s="69">
        <f ca="1">IF(J69=hovedret,Tilmeldingsoversigt!$C$16," ")</f>
        <v>55.016393442622949</v>
      </c>
      <c r="L69" s="68" t="str">
        <f>IF(Tilmeldingsoversigt!$H$8="x",hovedret," ")</f>
        <v>Hovedret</v>
      </c>
      <c r="M69" s="69">
        <f ca="1">IF(L69=hovedret,Tilmeldingsoversigt!$C$16," ")</f>
        <v>55.016393442622949</v>
      </c>
      <c r="N69" s="68" t="str">
        <f>IF(Tilmeldingsoversigt!$I$8="x",hovedret," ")</f>
        <v>Hovedret</v>
      </c>
      <c r="O69" s="70">
        <f ca="1">IF(N69=hovedret,Tilmeldingsoversigt!$C$16," ")</f>
        <v>55.016393442622949</v>
      </c>
      <c r="P69" s="66"/>
    </row>
    <row r="70" spans="2:16" x14ac:dyDescent="0.25">
      <c r="B70" s="68"/>
      <c r="C70" s="69"/>
      <c r="D70" s="68" t="str">
        <f>IF(Tilmeldingsoversigt!$D$9="x",Aftensmad," ")</f>
        <v>Aftensmad</v>
      </c>
      <c r="E70" s="69">
        <f ca="1">IF(D70=Aftensmad,Tilmeldingsoversigt!$C$17," ")</f>
        <v>27.540983606557376</v>
      </c>
      <c r="F70" s="68" t="str">
        <f>IF(Tilmeldingsoversigt!$E$9="x",Aftensmad," ")</f>
        <v>Aftensmad</v>
      </c>
      <c r="G70" s="69">
        <f ca="1">IF(F70=Aftensmad,Tilmeldingsoversigt!$C$17," ")</f>
        <v>27.540983606557376</v>
      </c>
      <c r="H70" s="68" t="str">
        <f>IF(Tilmeldingsoversigt!$F$9="x",Aftensmad," ")</f>
        <v>Aftensmad</v>
      </c>
      <c r="I70" s="69">
        <f ca="1">IF(H70=Aftensmad,Tilmeldingsoversigt!$C$17," ")</f>
        <v>27.540983606557376</v>
      </c>
      <c r="J70" s="68" t="str">
        <f>IF(Tilmeldingsoversigt!$G$9="x",Aftensmad," ")</f>
        <v>Aftensmad</v>
      </c>
      <c r="K70" s="69">
        <f ca="1">IF(J70=Aftensmad,Tilmeldingsoversigt!$C$17," ")</f>
        <v>27.540983606557376</v>
      </c>
      <c r="L70" s="68" t="str">
        <f>IF(Tilmeldingsoversigt!$H$9="x",Aftensmad," ")</f>
        <v>Aftensmad</v>
      </c>
      <c r="M70" s="69">
        <f ca="1">IF(L70=Aftensmad,Tilmeldingsoversigt!$C$17," ")</f>
        <v>27.540983606557376</v>
      </c>
      <c r="N70" s="68" t="str">
        <f>IF(Tilmeldingsoversigt!$I$9="x",Aftensmad," ")</f>
        <v>Aftensmad</v>
      </c>
      <c r="O70" s="70">
        <f ca="1">IF(N70=Aftensmad,Tilmeldingsoversigt!$C$17," ")</f>
        <v>27.540983606557376</v>
      </c>
      <c r="P70" s="66"/>
    </row>
    <row r="71" spans="2:16" x14ac:dyDescent="0.25">
      <c r="B71" s="68"/>
      <c r="C71" s="69"/>
      <c r="D71" s="68" t="str">
        <f>IF(Tilmeldingsoversigt!$D$10="x",biret," ")</f>
        <v>Biret</v>
      </c>
      <c r="E71" s="69">
        <f>IF(D71=biret,biretpris," ")</f>
        <v>0</v>
      </c>
      <c r="F71" s="68" t="str">
        <f>IF(Tilmeldingsoversigt!$E$10="x",biret," ")</f>
        <v>Biret</v>
      </c>
      <c r="G71" s="69">
        <f>IF(F71=biret,biretpris," ")</f>
        <v>0</v>
      </c>
      <c r="H71" s="68" t="str">
        <f>IF(Tilmeldingsoversigt!$F$10="x",biret," ")</f>
        <v>Biret</v>
      </c>
      <c r="I71" s="69">
        <f>IF(H71=biret,biretpris," ")</f>
        <v>0</v>
      </c>
      <c r="J71" s="68" t="str">
        <f>IF(Tilmeldingsoversigt!$G$10="x",biret," ")</f>
        <v>Biret</v>
      </c>
      <c r="K71" s="69">
        <f>IF(J71=biret,biretpris," ")</f>
        <v>0</v>
      </c>
      <c r="L71" s="68" t="str">
        <f>IF(Tilmeldingsoversigt!$H$10="x",biret," ")</f>
        <v>Biret</v>
      </c>
      <c r="M71" s="69">
        <f>IF(L71=biret,biretpris," ")</f>
        <v>0</v>
      </c>
      <c r="N71" s="68" t="str">
        <f>IF(Tilmeldingsoversigt!$I$10="x",biret," ")</f>
        <v>Biret</v>
      </c>
      <c r="O71" s="70">
        <f>IF(N71=biret,biretpris," ")</f>
        <v>0</v>
      </c>
      <c r="P71" s="66"/>
    </row>
    <row r="72" spans="2:16" x14ac:dyDescent="0.25">
      <c r="B72" s="71"/>
      <c r="C72" s="72"/>
      <c r="D72" s="71" t="str">
        <f>IF(Tilmeldingsoversigt!$C$11="x",mellemmåltid," ")</f>
        <v xml:space="preserve"> </v>
      </c>
      <c r="E72" s="72" t="str">
        <f>IF(D72=mellemmåltid,mellemmåltidspris," ")</f>
        <v xml:space="preserve"> </v>
      </c>
      <c r="F72" s="71" t="str">
        <f>IF(Tilmeldingsoversigt!$C$11="x",mellemmåltid," ")</f>
        <v xml:space="preserve"> </v>
      </c>
      <c r="G72" s="72" t="str">
        <f>IF(F72=mellemmåltid,mellemmåltidspris," ")</f>
        <v xml:space="preserve"> </v>
      </c>
      <c r="H72" s="71" t="str">
        <f>IF(Tilmeldingsoversigt!$C$11="x",mellemmåltid," ")</f>
        <v xml:space="preserve"> </v>
      </c>
      <c r="I72" s="72" t="str">
        <f>IF(H72=mellemmåltid,mellemmåltidspris," ")</f>
        <v xml:space="preserve"> </v>
      </c>
      <c r="J72" s="71" t="str">
        <f>IF(Tilmeldingsoversigt!$C$11="x",mellemmåltid," ")</f>
        <v xml:space="preserve"> </v>
      </c>
      <c r="K72" s="72" t="str">
        <f>IF(J72=mellemmåltid,mellemmåltidspris," ")</f>
        <v xml:space="preserve"> </v>
      </c>
      <c r="L72" s="71" t="str">
        <f>IF(Tilmeldingsoversigt!$C$11="x",mellemmåltid," ")</f>
        <v xml:space="preserve"> </v>
      </c>
      <c r="M72" s="72" t="str">
        <f>IF(L72=mellemmåltid,mellemmåltidspris," ")</f>
        <v xml:space="preserve"> </v>
      </c>
      <c r="N72" s="71" t="str">
        <f>IF(Tilmeldingsoversigt!$C$11="x",mellemmåltid," ")</f>
        <v xml:space="preserve"> </v>
      </c>
      <c r="O72" s="73" t="str">
        <f>IF(N72=mellemmåltid,mellemmåltidspris," ")</f>
        <v xml:space="preserve"> </v>
      </c>
      <c r="P72" s="66"/>
    </row>
    <row r="73" spans="2:16" x14ac:dyDescent="0.25">
      <c r="B73" s="74" t="s">
        <v>44</v>
      </c>
      <c r="C73" s="11">
        <f>SUM(C68:C72)</f>
        <v>0</v>
      </c>
      <c r="D73" s="74"/>
      <c r="E73" s="11">
        <f ca="1">SUM(E68:E72)</f>
        <v>99.311475409836063</v>
      </c>
      <c r="F73" s="74"/>
      <c r="G73" s="11">
        <f ca="1">SUM(G68:G72)</f>
        <v>99.311475409836063</v>
      </c>
      <c r="H73" s="74"/>
      <c r="I73" s="11">
        <f ca="1">SUM(I68:I72)</f>
        <v>99.311475409836063</v>
      </c>
      <c r="J73" s="74"/>
      <c r="K73" s="11">
        <f ca="1">SUM(K68:K72)</f>
        <v>99.311475409836063</v>
      </c>
      <c r="L73" s="74"/>
      <c r="M73" s="11">
        <f ca="1">SUM(M68:M72)</f>
        <v>99.311475409836063</v>
      </c>
      <c r="N73" s="74"/>
      <c r="O73" s="12">
        <f ca="1">SUM(O68:O72)</f>
        <v>99.311475409836063</v>
      </c>
      <c r="P73" s="75">
        <f ca="1">SUMIF(B66:N66,"&lt;8",C73:O73)</f>
        <v>397.24590163934425</v>
      </c>
    </row>
    <row r="74" spans="2:16" x14ac:dyDescent="0.2">
      <c r="B74" s="76"/>
      <c r="C74" s="77"/>
      <c r="D74" s="77"/>
      <c r="E74" s="77"/>
      <c r="F74" s="77"/>
      <c r="G74" s="77"/>
      <c r="H74" s="77"/>
      <c r="I74" s="77"/>
      <c r="J74" s="77"/>
      <c r="K74" s="77"/>
      <c r="L74" s="77"/>
      <c r="M74" s="77"/>
      <c r="N74" s="77"/>
      <c r="O74" s="77"/>
      <c r="P74" s="76"/>
    </row>
    <row r="75" spans="2:16" ht="12.75" x14ac:dyDescent="0.25">
      <c r="B75" s="78">
        <f>N66+1</f>
        <v>5</v>
      </c>
      <c r="C75" s="79"/>
      <c r="D75" s="78">
        <f>B75+1</f>
        <v>6</v>
      </c>
      <c r="E75" s="79"/>
      <c r="F75" s="78">
        <f>D75+1</f>
        <v>7</v>
      </c>
      <c r="G75" s="79"/>
      <c r="H75" s="78">
        <f>F75+1</f>
        <v>8</v>
      </c>
      <c r="I75" s="79"/>
      <c r="J75" s="78">
        <f>H75+1</f>
        <v>9</v>
      </c>
      <c r="K75" s="79"/>
      <c r="L75" s="78">
        <f>J75+1</f>
        <v>10</v>
      </c>
      <c r="M75" s="79"/>
      <c r="N75" s="78">
        <f>L75+1</f>
        <v>11</v>
      </c>
      <c r="O75" s="79"/>
      <c r="P75" s="80"/>
    </row>
    <row r="76" spans="2:16" x14ac:dyDescent="0.25">
      <c r="B76" s="64" t="s">
        <v>42</v>
      </c>
      <c r="C76" s="81" t="s">
        <v>43</v>
      </c>
      <c r="D76" s="64" t="s">
        <v>42</v>
      </c>
      <c r="E76" s="81" t="s">
        <v>43</v>
      </c>
      <c r="F76" s="64" t="s">
        <v>42</v>
      </c>
      <c r="G76" s="81" t="s">
        <v>43</v>
      </c>
      <c r="H76" s="64" t="s">
        <v>42</v>
      </c>
      <c r="I76" s="81" t="s">
        <v>43</v>
      </c>
      <c r="J76" s="64" t="s">
        <v>42</v>
      </c>
      <c r="K76" s="81" t="s">
        <v>43</v>
      </c>
      <c r="L76" s="64" t="s">
        <v>42</v>
      </c>
      <c r="M76" s="81" t="s">
        <v>43</v>
      </c>
      <c r="N76" s="64" t="s">
        <v>42</v>
      </c>
      <c r="O76" s="82" t="s">
        <v>43</v>
      </c>
      <c r="P76" s="66"/>
    </row>
    <row r="77" spans="2:16" x14ac:dyDescent="0.25">
      <c r="B77" s="136" t="str">
        <f>IF(Tilmeldingsoversigt!$C$7="x",Morgenmad," ")</f>
        <v>Morgenmad</v>
      </c>
      <c r="C77" s="67">
        <f ca="1">IF(B77=Morgenmad,Tilmeldingsoversigt!$C$15," ")</f>
        <v>16.754098360655739</v>
      </c>
      <c r="D77" s="136" t="str">
        <f>IF(Tilmeldingsoversigt!$D$7="x",Morgenmad," ")</f>
        <v>Morgenmad</v>
      </c>
      <c r="E77" s="67">
        <f ca="1">IF(D77=Morgenmad,Tilmeldingsoversigt!$C$15," ")</f>
        <v>16.754098360655739</v>
      </c>
      <c r="F77" s="136" t="str">
        <f>IF(Tilmeldingsoversigt!$E$7="x",Morgenmad," ")</f>
        <v>Morgenmad</v>
      </c>
      <c r="G77" s="67">
        <f ca="1">IF(F77=Morgenmad,Tilmeldingsoversigt!$C$15," ")</f>
        <v>16.754098360655739</v>
      </c>
      <c r="H77" s="136" t="str">
        <f>IF(Tilmeldingsoversigt!$F$7="x",Morgenmad," ")</f>
        <v>Morgenmad</v>
      </c>
      <c r="I77" s="67">
        <f ca="1">IF(H77=Morgenmad,Tilmeldingsoversigt!$C$15," ")</f>
        <v>16.754098360655739</v>
      </c>
      <c r="J77" s="136" t="str">
        <f>IF(Tilmeldingsoversigt!$G$7="x",Morgenmad," ")</f>
        <v>Morgenmad</v>
      </c>
      <c r="K77" s="67">
        <f ca="1">IF(J77=Morgenmad,Tilmeldingsoversigt!$C$15," ")</f>
        <v>16.754098360655739</v>
      </c>
      <c r="L77" s="136" t="str">
        <f>IF(Tilmeldingsoversigt!$H$7="x",Morgenmad," ")</f>
        <v>Morgenmad</v>
      </c>
      <c r="M77" s="67">
        <f ca="1">IF(L77=Morgenmad,Tilmeldingsoversigt!$C$15," ")</f>
        <v>16.754098360655739</v>
      </c>
      <c r="N77" s="136" t="str">
        <f>IF(Tilmeldingsoversigt!$I$7="x",Morgenmad," ")</f>
        <v>Morgenmad</v>
      </c>
      <c r="O77" s="83">
        <f ca="1">IF(N77=Morgenmad,Tilmeldingsoversigt!$C$15," ")</f>
        <v>16.754098360655739</v>
      </c>
      <c r="P77" s="66"/>
    </row>
    <row r="78" spans="2:16" x14ac:dyDescent="0.25">
      <c r="B78" s="68" t="str">
        <f>IF(Tilmeldingsoversigt!$C$8="x",hovedret," ")</f>
        <v>Hovedret</v>
      </c>
      <c r="C78" s="69">
        <f ca="1">IF(B78=hovedret,Tilmeldingsoversigt!$C$16," ")</f>
        <v>55.016393442622949</v>
      </c>
      <c r="D78" s="68" t="str">
        <f>IF(Tilmeldingsoversigt!$D$8="x",hovedret," ")</f>
        <v>Hovedret</v>
      </c>
      <c r="E78" s="69">
        <f ca="1">IF(D78=hovedret,Tilmeldingsoversigt!$C$16," ")</f>
        <v>55.016393442622949</v>
      </c>
      <c r="F78" s="68" t="str">
        <f>IF(Tilmeldingsoversigt!$E$8="x",hovedret," ")</f>
        <v>Hovedret</v>
      </c>
      <c r="G78" s="69">
        <f ca="1">IF(F78=hovedret,Tilmeldingsoversigt!$C$16," ")</f>
        <v>55.016393442622949</v>
      </c>
      <c r="H78" s="68" t="str">
        <f>IF(Tilmeldingsoversigt!$F$8="x",hovedret," ")</f>
        <v>Hovedret</v>
      </c>
      <c r="I78" s="69">
        <f ca="1">IF(H78=hovedret,Tilmeldingsoversigt!$C$16," ")</f>
        <v>55.016393442622949</v>
      </c>
      <c r="J78" s="68" t="str">
        <f>IF(Tilmeldingsoversigt!$G$8="x",hovedret," ")</f>
        <v>Hovedret</v>
      </c>
      <c r="K78" s="69">
        <f ca="1">IF(J78=hovedret,Tilmeldingsoversigt!$C$16," ")</f>
        <v>55.016393442622949</v>
      </c>
      <c r="L78" s="68" t="str">
        <f>IF(Tilmeldingsoversigt!$H$8="x",hovedret," ")</f>
        <v>Hovedret</v>
      </c>
      <c r="M78" s="69">
        <f ca="1">IF(L78=hovedret,Tilmeldingsoversigt!$C$16," ")</f>
        <v>55.016393442622949</v>
      </c>
      <c r="N78" s="68" t="str">
        <f>IF(Tilmeldingsoversigt!$I$8="x",hovedret," ")</f>
        <v>Hovedret</v>
      </c>
      <c r="O78" s="70">
        <f ca="1">IF(N78=hovedret,Tilmeldingsoversigt!$C$16," ")</f>
        <v>55.016393442622949</v>
      </c>
      <c r="P78" s="66"/>
    </row>
    <row r="79" spans="2:16" x14ac:dyDescent="0.25">
      <c r="B79" s="68" t="str">
        <f>IF(Tilmeldingsoversigt!$C$9="x",Aftensmad," ")</f>
        <v>Aftensmad</v>
      </c>
      <c r="C79" s="69">
        <f ca="1">IF(B79=Aftensmad,Tilmeldingsoversigt!$C$17," ")</f>
        <v>27.540983606557376</v>
      </c>
      <c r="D79" s="68" t="str">
        <f>IF(Tilmeldingsoversigt!$D$9="x",Aftensmad," ")</f>
        <v>Aftensmad</v>
      </c>
      <c r="E79" s="69">
        <f ca="1">IF(D79=Aftensmad,Tilmeldingsoversigt!$C$17," ")</f>
        <v>27.540983606557376</v>
      </c>
      <c r="F79" s="68" t="str">
        <f>IF(Tilmeldingsoversigt!$E$9="x",Aftensmad," ")</f>
        <v>Aftensmad</v>
      </c>
      <c r="G79" s="69">
        <f ca="1">IF(F79=Aftensmad,Tilmeldingsoversigt!$C$17," ")</f>
        <v>27.540983606557376</v>
      </c>
      <c r="H79" s="68" t="str">
        <f>IF(Tilmeldingsoversigt!$F$9="x",Aftensmad," ")</f>
        <v>Aftensmad</v>
      </c>
      <c r="I79" s="69">
        <f ca="1">IF(H79=Aftensmad,Tilmeldingsoversigt!$C$17," ")</f>
        <v>27.540983606557376</v>
      </c>
      <c r="J79" s="68" t="str">
        <f>IF(Tilmeldingsoversigt!$G$9="x",Aftensmad," ")</f>
        <v>Aftensmad</v>
      </c>
      <c r="K79" s="69">
        <f ca="1">IF(J79=Aftensmad,Tilmeldingsoversigt!$C$17," ")</f>
        <v>27.540983606557376</v>
      </c>
      <c r="L79" s="68" t="str">
        <f>IF(Tilmeldingsoversigt!$H$9="x",Aftensmad," ")</f>
        <v>Aftensmad</v>
      </c>
      <c r="M79" s="69">
        <f ca="1">IF(L79=Aftensmad,Tilmeldingsoversigt!$C$17," ")</f>
        <v>27.540983606557376</v>
      </c>
      <c r="N79" s="68" t="str">
        <f>IF(Tilmeldingsoversigt!$I$9="x",Aftensmad," ")</f>
        <v>Aftensmad</v>
      </c>
      <c r="O79" s="70">
        <f ca="1">IF(N79=Aftensmad,Tilmeldingsoversigt!$C$17," ")</f>
        <v>27.540983606557376</v>
      </c>
      <c r="P79" s="66"/>
    </row>
    <row r="80" spans="2:16" x14ac:dyDescent="0.25">
      <c r="B80" s="68" t="str">
        <f>IF(Tilmeldingsoversigt!$C$10="x",biret," ")</f>
        <v>Biret</v>
      </c>
      <c r="C80" s="69">
        <f>IF(B80=biret,biretpris," ")</f>
        <v>0</v>
      </c>
      <c r="D80" s="68" t="str">
        <f>IF(Tilmeldingsoversigt!$D$10="x",biret," ")</f>
        <v>Biret</v>
      </c>
      <c r="E80" s="69">
        <f>IF(D80=biret,biretpris," ")</f>
        <v>0</v>
      </c>
      <c r="F80" s="68" t="str">
        <f>IF(Tilmeldingsoversigt!$E$10="x",biret," ")</f>
        <v>Biret</v>
      </c>
      <c r="G80" s="69">
        <f>IF(F80=biret,biretpris," ")</f>
        <v>0</v>
      </c>
      <c r="H80" s="68" t="str">
        <f>IF(Tilmeldingsoversigt!$F$10="x",biret," ")</f>
        <v>Biret</v>
      </c>
      <c r="I80" s="69">
        <f>IF(H80=biret,biretpris," ")</f>
        <v>0</v>
      </c>
      <c r="J80" s="68" t="str">
        <f>IF(Tilmeldingsoversigt!$G$10="x",biret," ")</f>
        <v>Biret</v>
      </c>
      <c r="K80" s="69">
        <f>IF(J80=biret,biretpris," ")</f>
        <v>0</v>
      </c>
      <c r="L80" s="68" t="str">
        <f>IF(Tilmeldingsoversigt!$H$10="x",biret," ")</f>
        <v>Biret</v>
      </c>
      <c r="M80" s="69">
        <f>IF(L80=biret,biretpris," ")</f>
        <v>0</v>
      </c>
      <c r="N80" s="68" t="str">
        <f>IF(Tilmeldingsoversigt!$I$10="x",biret," ")</f>
        <v>Biret</v>
      </c>
      <c r="O80" s="70">
        <f>IF(N80=biret,biretpris," ")</f>
        <v>0</v>
      </c>
      <c r="P80" s="66"/>
    </row>
    <row r="81" spans="2:16" x14ac:dyDescent="0.25">
      <c r="B81" s="71" t="str">
        <f>IF(Tilmeldingsoversigt!$C$11="x",mellemmåltid," ")</f>
        <v xml:space="preserve"> </v>
      </c>
      <c r="C81" s="72" t="str">
        <f>IF(B81=mellemmåltid,mellemmåltidspris," ")</f>
        <v xml:space="preserve"> </v>
      </c>
      <c r="D81" s="71" t="str">
        <f>IF(Tilmeldingsoversigt!$C$11="x",mellemmåltid," ")</f>
        <v xml:space="preserve"> </v>
      </c>
      <c r="E81" s="72" t="str">
        <f>IF(D81=mellemmåltid,mellemmåltidspris," ")</f>
        <v xml:space="preserve"> </v>
      </c>
      <c r="F81" s="71" t="str">
        <f>IF(Tilmeldingsoversigt!$C$11="x",mellemmåltid," ")</f>
        <v xml:space="preserve"> </v>
      </c>
      <c r="G81" s="72" t="str">
        <f>IF(F81=mellemmåltid,mellemmåltidspris," ")</f>
        <v xml:space="preserve"> </v>
      </c>
      <c r="H81" s="71" t="str">
        <f>IF(Tilmeldingsoversigt!$C$11="x",mellemmåltid," ")</f>
        <v xml:space="preserve"> </v>
      </c>
      <c r="I81" s="72" t="str">
        <f>IF(H81=mellemmåltid,mellemmåltidspris," ")</f>
        <v xml:space="preserve"> </v>
      </c>
      <c r="J81" s="71" t="str">
        <f>IF(Tilmeldingsoversigt!$C$11="x",mellemmåltid," ")</f>
        <v xml:space="preserve"> </v>
      </c>
      <c r="K81" s="72" t="str">
        <f>IF(J81=mellemmåltid,mellemmåltidspris," ")</f>
        <v xml:space="preserve"> </v>
      </c>
      <c r="L81" s="71" t="str">
        <f>IF(Tilmeldingsoversigt!$C$11="x",mellemmåltid," ")</f>
        <v xml:space="preserve"> </v>
      </c>
      <c r="M81" s="72" t="str">
        <f>IF(L81=mellemmåltid,mellemmåltidspris," ")</f>
        <v xml:space="preserve"> </v>
      </c>
      <c r="N81" s="71" t="str">
        <f>IF(Tilmeldingsoversigt!$C$11="x",mellemmåltid," ")</f>
        <v xml:space="preserve"> </v>
      </c>
      <c r="O81" s="73" t="str">
        <f>IF(N81=mellemmåltid,mellemmåltidspris," ")</f>
        <v xml:space="preserve"> </v>
      </c>
      <c r="P81" s="66"/>
    </row>
    <row r="82" spans="2:16" x14ac:dyDescent="0.25">
      <c r="B82" s="74" t="s">
        <v>44</v>
      </c>
      <c r="C82" s="11">
        <f ca="1">SUM(C77:C81)</f>
        <v>99.311475409836063</v>
      </c>
      <c r="D82" s="74"/>
      <c r="E82" s="11">
        <f ca="1">SUM(E77:E81)</f>
        <v>99.311475409836063</v>
      </c>
      <c r="F82" s="74"/>
      <c r="G82" s="11">
        <f ca="1">SUM(G77:G81)</f>
        <v>99.311475409836063</v>
      </c>
      <c r="H82" s="74"/>
      <c r="I82" s="11">
        <f ca="1">SUM(I77:I81)</f>
        <v>99.311475409836063</v>
      </c>
      <c r="J82" s="74"/>
      <c r="K82" s="11">
        <f ca="1">SUM(K77:K81)</f>
        <v>99.311475409836063</v>
      </c>
      <c r="L82" s="74"/>
      <c r="M82" s="11">
        <f ca="1">SUM(M77:M81)</f>
        <v>99.311475409836063</v>
      </c>
      <c r="N82" s="74"/>
      <c r="O82" s="12">
        <f ca="1">SUM(O77:O81)</f>
        <v>99.311475409836063</v>
      </c>
      <c r="P82" s="75">
        <f ca="1">SUM(C82,E82,G82,I82,K82,M82,O82)</f>
        <v>695.18032786885237</v>
      </c>
    </row>
    <row r="83" spans="2:16" x14ac:dyDescent="0.2">
      <c r="B83" s="76"/>
      <c r="C83" s="77"/>
      <c r="D83" s="77"/>
      <c r="E83" s="77"/>
      <c r="F83" s="77"/>
      <c r="G83" s="77"/>
      <c r="H83" s="77"/>
      <c r="I83" s="77"/>
      <c r="J83" s="77"/>
      <c r="K83" s="77"/>
      <c r="L83" s="77"/>
      <c r="M83" s="77"/>
      <c r="N83" s="77"/>
      <c r="O83" s="77"/>
      <c r="P83" s="76"/>
    </row>
    <row r="84" spans="2:16" ht="12.75" x14ac:dyDescent="0.25">
      <c r="B84" s="78">
        <f>N75+1</f>
        <v>12</v>
      </c>
      <c r="C84" s="79"/>
      <c r="D84" s="78">
        <f>B84+1</f>
        <v>13</v>
      </c>
      <c r="E84" s="79"/>
      <c r="F84" s="78">
        <f>D84+1</f>
        <v>14</v>
      </c>
      <c r="G84" s="79"/>
      <c r="H84" s="78">
        <f>F84+1</f>
        <v>15</v>
      </c>
      <c r="I84" s="79"/>
      <c r="J84" s="78">
        <f>H84+1</f>
        <v>16</v>
      </c>
      <c r="K84" s="79"/>
      <c r="L84" s="78">
        <f>J84+1</f>
        <v>17</v>
      </c>
      <c r="M84" s="79"/>
      <c r="N84" s="78">
        <f>L84+1</f>
        <v>18</v>
      </c>
      <c r="O84" s="79"/>
      <c r="P84" s="80"/>
    </row>
    <row r="85" spans="2:16" x14ac:dyDescent="0.25">
      <c r="B85" s="64" t="s">
        <v>42</v>
      </c>
      <c r="C85" s="81" t="s">
        <v>43</v>
      </c>
      <c r="D85" s="64" t="s">
        <v>42</v>
      </c>
      <c r="E85" s="81" t="s">
        <v>43</v>
      </c>
      <c r="F85" s="64" t="s">
        <v>42</v>
      </c>
      <c r="G85" s="81" t="s">
        <v>43</v>
      </c>
      <c r="H85" s="64" t="s">
        <v>42</v>
      </c>
      <c r="I85" s="81" t="s">
        <v>43</v>
      </c>
      <c r="J85" s="64" t="s">
        <v>42</v>
      </c>
      <c r="K85" s="81" t="s">
        <v>43</v>
      </c>
      <c r="L85" s="64" t="s">
        <v>42</v>
      </c>
      <c r="M85" s="81" t="s">
        <v>43</v>
      </c>
      <c r="N85" s="64" t="s">
        <v>42</v>
      </c>
      <c r="O85" s="82" t="s">
        <v>43</v>
      </c>
      <c r="P85" s="66"/>
    </row>
    <row r="86" spans="2:16" x14ac:dyDescent="0.25">
      <c r="B86" s="136" t="str">
        <f>IF(Tilmeldingsoversigt!$C$7="x",Morgenmad," ")</f>
        <v>Morgenmad</v>
      </c>
      <c r="C86" s="67">
        <f ca="1">IF(B86=Morgenmad,Tilmeldingsoversigt!$C$15," ")</f>
        <v>16.754098360655739</v>
      </c>
      <c r="D86" s="136" t="str">
        <f>IF(Tilmeldingsoversigt!$D$7="x",Morgenmad," ")</f>
        <v>Morgenmad</v>
      </c>
      <c r="E86" s="67">
        <f ca="1">IF(D86=Morgenmad,Tilmeldingsoversigt!$C$15," ")</f>
        <v>16.754098360655739</v>
      </c>
      <c r="F86" s="136" t="str">
        <f>IF(Tilmeldingsoversigt!$E$7="x",Morgenmad," ")</f>
        <v>Morgenmad</v>
      </c>
      <c r="G86" s="67">
        <f ca="1">IF(F86=Morgenmad,Tilmeldingsoversigt!$C$15," ")</f>
        <v>16.754098360655739</v>
      </c>
      <c r="H86" s="136" t="str">
        <f>IF(Tilmeldingsoversigt!$F$7="x",Morgenmad," ")</f>
        <v>Morgenmad</v>
      </c>
      <c r="I86" s="67">
        <f ca="1">IF(H86=Morgenmad,Tilmeldingsoversigt!$C$15," ")</f>
        <v>16.754098360655739</v>
      </c>
      <c r="J86" s="136" t="str">
        <f>IF(Tilmeldingsoversigt!$G$7="x",Morgenmad," ")</f>
        <v>Morgenmad</v>
      </c>
      <c r="K86" s="67">
        <f ca="1">IF(J86=Morgenmad,Tilmeldingsoversigt!$C$15," ")</f>
        <v>16.754098360655739</v>
      </c>
      <c r="L86" s="136" t="str">
        <f>IF(Tilmeldingsoversigt!$H$7="x",Morgenmad," ")</f>
        <v>Morgenmad</v>
      </c>
      <c r="M86" s="67">
        <f ca="1">IF(L86=Morgenmad,Tilmeldingsoversigt!$C$15," ")</f>
        <v>16.754098360655739</v>
      </c>
      <c r="N86" s="136" t="str">
        <f>IF(Tilmeldingsoversigt!$I$7="x",Morgenmad," ")</f>
        <v>Morgenmad</v>
      </c>
      <c r="O86" s="83">
        <f ca="1">IF(N86=Morgenmad,Tilmeldingsoversigt!$C$15," ")</f>
        <v>16.754098360655739</v>
      </c>
      <c r="P86" s="66"/>
    </row>
    <row r="87" spans="2:16" x14ac:dyDescent="0.25">
      <c r="B87" s="68" t="str">
        <f>IF(Tilmeldingsoversigt!$C$8="x",hovedret," ")</f>
        <v>Hovedret</v>
      </c>
      <c r="C87" s="69">
        <f ca="1">IF(B87=hovedret,Tilmeldingsoversigt!$C$16," ")</f>
        <v>55.016393442622949</v>
      </c>
      <c r="D87" s="68" t="str">
        <f>IF(Tilmeldingsoversigt!$D$8="x",hovedret," ")</f>
        <v>Hovedret</v>
      </c>
      <c r="E87" s="69">
        <f ca="1">IF(D87=hovedret,Tilmeldingsoversigt!$C$16," ")</f>
        <v>55.016393442622949</v>
      </c>
      <c r="F87" s="68" t="str">
        <f>IF(Tilmeldingsoversigt!$E$8="x",hovedret," ")</f>
        <v>Hovedret</v>
      </c>
      <c r="G87" s="69">
        <f ca="1">IF(F87=hovedret,Tilmeldingsoversigt!$C$16," ")</f>
        <v>55.016393442622949</v>
      </c>
      <c r="H87" s="68" t="str">
        <f>IF(Tilmeldingsoversigt!$F$8="x",hovedret," ")</f>
        <v>Hovedret</v>
      </c>
      <c r="I87" s="69">
        <f ca="1">IF(H87=hovedret,Tilmeldingsoversigt!$C$16," ")</f>
        <v>55.016393442622949</v>
      </c>
      <c r="J87" s="68" t="str">
        <f>IF(Tilmeldingsoversigt!$G$8="x",hovedret," ")</f>
        <v>Hovedret</v>
      </c>
      <c r="K87" s="69">
        <f ca="1">IF(J87=hovedret,Tilmeldingsoversigt!$C$16," ")</f>
        <v>55.016393442622949</v>
      </c>
      <c r="L87" s="68" t="str">
        <f>IF(Tilmeldingsoversigt!$H$8="x",hovedret," ")</f>
        <v>Hovedret</v>
      </c>
      <c r="M87" s="69">
        <f ca="1">IF(L87=hovedret,Tilmeldingsoversigt!$C$16," ")</f>
        <v>55.016393442622949</v>
      </c>
      <c r="N87" s="68" t="str">
        <f>IF(Tilmeldingsoversigt!$I$8="x",hovedret," ")</f>
        <v>Hovedret</v>
      </c>
      <c r="O87" s="70">
        <f ca="1">IF(N87=hovedret,Tilmeldingsoversigt!$C$16," ")</f>
        <v>55.016393442622949</v>
      </c>
      <c r="P87" s="66"/>
    </row>
    <row r="88" spans="2:16" x14ac:dyDescent="0.25">
      <c r="B88" s="68" t="str">
        <f>IF(Tilmeldingsoversigt!$C$9="x",Aftensmad," ")</f>
        <v>Aftensmad</v>
      </c>
      <c r="C88" s="69">
        <f ca="1">IF(B88=Aftensmad,Tilmeldingsoversigt!$C$17," ")</f>
        <v>27.540983606557376</v>
      </c>
      <c r="D88" s="68" t="str">
        <f>IF(Tilmeldingsoversigt!$D$9="x",Aftensmad," ")</f>
        <v>Aftensmad</v>
      </c>
      <c r="E88" s="69">
        <f ca="1">IF(D88=Aftensmad,Tilmeldingsoversigt!$C$17," ")</f>
        <v>27.540983606557376</v>
      </c>
      <c r="F88" s="68" t="str">
        <f>IF(Tilmeldingsoversigt!$E$9="x",Aftensmad," ")</f>
        <v>Aftensmad</v>
      </c>
      <c r="G88" s="69">
        <f ca="1">IF(F88=Aftensmad,Tilmeldingsoversigt!$C$17," ")</f>
        <v>27.540983606557376</v>
      </c>
      <c r="H88" s="68" t="str">
        <f>IF(Tilmeldingsoversigt!$F$9="x",Aftensmad," ")</f>
        <v>Aftensmad</v>
      </c>
      <c r="I88" s="69">
        <f ca="1">IF(H88=Aftensmad,Tilmeldingsoversigt!$C$17," ")</f>
        <v>27.540983606557376</v>
      </c>
      <c r="J88" s="68" t="str">
        <f>IF(Tilmeldingsoversigt!$G$9="x",Aftensmad," ")</f>
        <v>Aftensmad</v>
      </c>
      <c r="K88" s="69">
        <f ca="1">IF(J88=Aftensmad,Tilmeldingsoversigt!$C$17," ")</f>
        <v>27.540983606557376</v>
      </c>
      <c r="L88" s="68" t="str">
        <f>IF(Tilmeldingsoversigt!$H$9="x",Aftensmad," ")</f>
        <v>Aftensmad</v>
      </c>
      <c r="M88" s="69">
        <f ca="1">IF(L88=Aftensmad,Tilmeldingsoversigt!$C$17," ")</f>
        <v>27.540983606557376</v>
      </c>
      <c r="N88" s="68" t="str">
        <f>IF(Tilmeldingsoversigt!$I$9="x",Aftensmad," ")</f>
        <v>Aftensmad</v>
      </c>
      <c r="O88" s="70">
        <f ca="1">IF(N88=Aftensmad,Tilmeldingsoversigt!$C$17," ")</f>
        <v>27.540983606557376</v>
      </c>
      <c r="P88" s="66"/>
    </row>
    <row r="89" spans="2:16" x14ac:dyDescent="0.25">
      <c r="B89" s="68" t="str">
        <f>IF(Tilmeldingsoversigt!$C$10="x",biret," ")</f>
        <v>Biret</v>
      </c>
      <c r="C89" s="69">
        <f>IF(B89=biret,biretpris," ")</f>
        <v>0</v>
      </c>
      <c r="D89" s="68" t="str">
        <f>IF(Tilmeldingsoversigt!$D$10="x",biret," ")</f>
        <v>Biret</v>
      </c>
      <c r="E89" s="69">
        <f>IF(D89=biret,biretpris," ")</f>
        <v>0</v>
      </c>
      <c r="F89" s="68" t="str">
        <f>IF(Tilmeldingsoversigt!$E$10="x",biret," ")</f>
        <v>Biret</v>
      </c>
      <c r="G89" s="69">
        <f>IF(F89=biret,biretpris," ")</f>
        <v>0</v>
      </c>
      <c r="H89" s="68" t="str">
        <f>IF(Tilmeldingsoversigt!$F$10="x",biret," ")</f>
        <v>Biret</v>
      </c>
      <c r="I89" s="69">
        <f>IF(H89=biret,biretpris," ")</f>
        <v>0</v>
      </c>
      <c r="J89" s="68" t="str">
        <f>IF(Tilmeldingsoversigt!$G$10="x",biret," ")</f>
        <v>Biret</v>
      </c>
      <c r="K89" s="69">
        <f>IF(J89=biret,biretpris," ")</f>
        <v>0</v>
      </c>
      <c r="L89" s="68" t="str">
        <f>IF(Tilmeldingsoversigt!$H$10="x",biret," ")</f>
        <v>Biret</v>
      </c>
      <c r="M89" s="69">
        <f>IF(L89=biret,biretpris," ")</f>
        <v>0</v>
      </c>
      <c r="N89" s="68" t="str">
        <f>IF(Tilmeldingsoversigt!$I$10="x",biret," ")</f>
        <v>Biret</v>
      </c>
      <c r="O89" s="70">
        <f>IF(N89=biret,biretpris," ")</f>
        <v>0</v>
      </c>
      <c r="P89" s="66"/>
    </row>
    <row r="90" spans="2:16" x14ac:dyDescent="0.25">
      <c r="B90" s="71" t="str">
        <f>IF(Tilmeldingsoversigt!$C$11="x",mellemmåltid," ")</f>
        <v xml:space="preserve"> </v>
      </c>
      <c r="C90" s="72" t="str">
        <f>IF(B90=mellemmåltid,mellemmåltidspris," ")</f>
        <v xml:space="preserve"> </v>
      </c>
      <c r="D90" s="71" t="str">
        <f>IF(Tilmeldingsoversigt!$C$11="x",mellemmåltid," ")</f>
        <v xml:space="preserve"> </v>
      </c>
      <c r="E90" s="72" t="str">
        <f>IF(D90=mellemmåltid,mellemmåltidspris," ")</f>
        <v xml:space="preserve"> </v>
      </c>
      <c r="F90" s="71" t="str">
        <f>IF(Tilmeldingsoversigt!$C$11="x",mellemmåltid," ")</f>
        <v xml:space="preserve"> </v>
      </c>
      <c r="G90" s="72" t="str">
        <f>IF(F90=mellemmåltid,mellemmåltidspris," ")</f>
        <v xml:space="preserve"> </v>
      </c>
      <c r="H90" s="71" t="str">
        <f>IF(Tilmeldingsoversigt!$C$11="x",mellemmåltid," ")</f>
        <v xml:space="preserve"> </v>
      </c>
      <c r="I90" s="72" t="str">
        <f>IF(H90=mellemmåltid,mellemmåltidspris," ")</f>
        <v xml:space="preserve"> </v>
      </c>
      <c r="J90" s="71" t="str">
        <f>IF(Tilmeldingsoversigt!$C$11="x",mellemmåltid," ")</f>
        <v xml:space="preserve"> </v>
      </c>
      <c r="K90" s="72" t="str">
        <f>IF(J90=mellemmåltid,mellemmåltidspris," ")</f>
        <v xml:space="preserve"> </v>
      </c>
      <c r="L90" s="71" t="str">
        <f>IF(Tilmeldingsoversigt!$C$11="x",mellemmåltid," ")</f>
        <v xml:space="preserve"> </v>
      </c>
      <c r="M90" s="72" t="str">
        <f>IF(L90=mellemmåltid,mellemmåltidspris," ")</f>
        <v xml:space="preserve"> </v>
      </c>
      <c r="N90" s="71" t="str">
        <f>IF(Tilmeldingsoversigt!$C$11="x",mellemmåltid," ")</f>
        <v xml:space="preserve"> </v>
      </c>
      <c r="O90" s="73" t="str">
        <f>IF(N90=mellemmåltid,mellemmåltidspris," ")</f>
        <v xml:space="preserve"> </v>
      </c>
      <c r="P90" s="66"/>
    </row>
    <row r="91" spans="2:16" x14ac:dyDescent="0.25">
      <c r="B91" s="84" t="s">
        <v>44</v>
      </c>
      <c r="C91" s="11">
        <f ca="1">SUM(C86:C90)</f>
        <v>99.311475409836063</v>
      </c>
      <c r="D91" s="74"/>
      <c r="E91" s="11">
        <f ca="1">SUM(E86:E90)</f>
        <v>99.311475409836063</v>
      </c>
      <c r="F91" s="74"/>
      <c r="G91" s="11">
        <f ca="1">SUM(G86:G90)</f>
        <v>99.311475409836063</v>
      </c>
      <c r="H91" s="74"/>
      <c r="I91" s="11">
        <f ca="1">SUM(I86:I90)</f>
        <v>99.311475409836063</v>
      </c>
      <c r="J91" s="74"/>
      <c r="K91" s="11">
        <f ca="1">SUM(K86:K90)</f>
        <v>99.311475409836063</v>
      </c>
      <c r="L91" s="74"/>
      <c r="M91" s="11">
        <f ca="1">SUM(M86:M90)</f>
        <v>99.311475409836063</v>
      </c>
      <c r="N91" s="74"/>
      <c r="O91" s="12">
        <f ca="1">SUM(O86:O90)</f>
        <v>99.311475409836063</v>
      </c>
      <c r="P91" s="75">
        <f ca="1">SUM(C91,E91,G91,I91,K91,M91,O91)</f>
        <v>695.18032786885237</v>
      </c>
    </row>
    <row r="92" spans="2:16" x14ac:dyDescent="0.2">
      <c r="B92" s="76"/>
      <c r="C92" s="77"/>
      <c r="D92" s="77"/>
      <c r="E92" s="77"/>
      <c r="F92" s="77"/>
      <c r="G92" s="77"/>
      <c r="H92" s="77"/>
      <c r="I92" s="77"/>
      <c r="J92" s="77"/>
      <c r="K92" s="77"/>
      <c r="L92" s="77"/>
      <c r="M92" s="77"/>
      <c r="N92" s="77"/>
      <c r="O92" s="77"/>
      <c r="P92" s="76"/>
    </row>
    <row r="93" spans="2:16" ht="12.75" x14ac:dyDescent="0.25">
      <c r="B93" s="78">
        <f>N84+1</f>
        <v>19</v>
      </c>
      <c r="C93" s="79"/>
      <c r="D93" s="78">
        <f>B93+1</f>
        <v>20</v>
      </c>
      <c r="E93" s="79"/>
      <c r="F93" s="78">
        <f>D93+1</f>
        <v>21</v>
      </c>
      <c r="G93" s="79"/>
      <c r="H93" s="78">
        <f>F93+1</f>
        <v>22</v>
      </c>
      <c r="I93" s="79"/>
      <c r="J93" s="78">
        <f>H93+1</f>
        <v>23</v>
      </c>
      <c r="K93" s="79"/>
      <c r="L93" s="78">
        <f>J93+1</f>
        <v>24</v>
      </c>
      <c r="M93" s="79"/>
      <c r="N93" s="78">
        <f>L93+1</f>
        <v>25</v>
      </c>
      <c r="O93" s="79"/>
      <c r="P93" s="80"/>
    </row>
    <row r="94" spans="2:16" x14ac:dyDescent="0.25">
      <c r="B94" s="64" t="s">
        <v>42</v>
      </c>
      <c r="C94" s="81" t="s">
        <v>43</v>
      </c>
      <c r="D94" s="64" t="s">
        <v>42</v>
      </c>
      <c r="E94" s="81" t="s">
        <v>43</v>
      </c>
      <c r="F94" s="64" t="s">
        <v>42</v>
      </c>
      <c r="G94" s="81" t="s">
        <v>43</v>
      </c>
      <c r="H94" s="64" t="s">
        <v>42</v>
      </c>
      <c r="I94" s="81" t="s">
        <v>43</v>
      </c>
      <c r="J94" s="64" t="s">
        <v>42</v>
      </c>
      <c r="K94" s="81" t="s">
        <v>43</v>
      </c>
      <c r="L94" s="64" t="s">
        <v>42</v>
      </c>
      <c r="M94" s="81" t="s">
        <v>43</v>
      </c>
      <c r="N94" s="64" t="s">
        <v>42</v>
      </c>
      <c r="O94" s="82" t="s">
        <v>43</v>
      </c>
      <c r="P94" s="66"/>
    </row>
    <row r="95" spans="2:16" x14ac:dyDescent="0.25">
      <c r="B95" s="136" t="str">
        <f>IF(Tilmeldingsoversigt!$C$7="x",Morgenmad," ")</f>
        <v>Morgenmad</v>
      </c>
      <c r="C95" s="67">
        <f ca="1">IF(B95=Morgenmad,Tilmeldingsoversigt!$C$15," ")</f>
        <v>16.754098360655739</v>
      </c>
      <c r="D95" s="136" t="str">
        <f>IF(Tilmeldingsoversigt!$D$7="x",Morgenmad," ")</f>
        <v>Morgenmad</v>
      </c>
      <c r="E95" s="67">
        <f ca="1">IF(D95=Morgenmad,Tilmeldingsoversigt!$C$15," ")</f>
        <v>16.754098360655739</v>
      </c>
      <c r="F95" s="136" t="str">
        <f>IF(Tilmeldingsoversigt!$E$7="x",Morgenmad," ")</f>
        <v>Morgenmad</v>
      </c>
      <c r="G95" s="67">
        <f ca="1">IF(F95=Morgenmad,Tilmeldingsoversigt!$C$15," ")</f>
        <v>16.754098360655739</v>
      </c>
      <c r="H95" s="136" t="str">
        <f>IF(Tilmeldingsoversigt!$F$7="x",Morgenmad," ")</f>
        <v>Morgenmad</v>
      </c>
      <c r="I95" s="67">
        <f ca="1">IF(H95=Morgenmad,Tilmeldingsoversigt!$C$15," ")</f>
        <v>16.754098360655739</v>
      </c>
      <c r="J95" s="136" t="str">
        <f>IF(Tilmeldingsoversigt!$G$7="x",Morgenmad," ")</f>
        <v>Morgenmad</v>
      </c>
      <c r="K95" s="67">
        <f ca="1">IF(J95=Morgenmad,Tilmeldingsoversigt!$C$15," ")</f>
        <v>16.754098360655739</v>
      </c>
      <c r="L95" s="136" t="str">
        <f>IF(Tilmeldingsoversigt!$H$7="x",Morgenmad," ")</f>
        <v>Morgenmad</v>
      </c>
      <c r="M95" s="67">
        <f ca="1">IF(L95=Morgenmad,Tilmeldingsoversigt!$C$15," ")</f>
        <v>16.754098360655739</v>
      </c>
      <c r="N95" s="136" t="str">
        <f>IF(Tilmeldingsoversigt!$I$7="x",Morgenmad," ")</f>
        <v>Morgenmad</v>
      </c>
      <c r="O95" s="83">
        <f ca="1">IF(N95=Morgenmad,Tilmeldingsoversigt!$C$15," ")</f>
        <v>16.754098360655739</v>
      </c>
      <c r="P95" s="66"/>
    </row>
    <row r="96" spans="2:16" x14ac:dyDescent="0.25">
      <c r="B96" s="68" t="str">
        <f>IF(Tilmeldingsoversigt!$C$8="x",hovedret," ")</f>
        <v>Hovedret</v>
      </c>
      <c r="C96" s="69">
        <f ca="1">IF(B96=hovedret,Tilmeldingsoversigt!$C$16," ")</f>
        <v>55.016393442622949</v>
      </c>
      <c r="D96" s="68" t="str">
        <f>IF(Tilmeldingsoversigt!$D$8="x",hovedret," ")</f>
        <v>Hovedret</v>
      </c>
      <c r="E96" s="69">
        <f ca="1">IF(D96=hovedret,Tilmeldingsoversigt!$C$16," ")</f>
        <v>55.016393442622949</v>
      </c>
      <c r="F96" s="68" t="str">
        <f>IF(Tilmeldingsoversigt!$E$8="x",hovedret," ")</f>
        <v>Hovedret</v>
      </c>
      <c r="G96" s="69">
        <f ca="1">IF(F96=hovedret,Tilmeldingsoversigt!$C$16," ")</f>
        <v>55.016393442622949</v>
      </c>
      <c r="H96" s="68" t="str">
        <f>IF(Tilmeldingsoversigt!$F$8="x",hovedret," ")</f>
        <v>Hovedret</v>
      </c>
      <c r="I96" s="69">
        <f ca="1">IF(H96=hovedret,Tilmeldingsoversigt!$C$16," ")</f>
        <v>55.016393442622949</v>
      </c>
      <c r="J96" s="68" t="str">
        <f>IF(Tilmeldingsoversigt!$G$8="x",hovedret," ")</f>
        <v>Hovedret</v>
      </c>
      <c r="K96" s="69">
        <f ca="1">IF(J96=hovedret,Tilmeldingsoversigt!$C$16," ")</f>
        <v>55.016393442622949</v>
      </c>
      <c r="L96" s="68" t="str">
        <f>IF(Tilmeldingsoversigt!$H$8="x",hovedret," ")</f>
        <v>Hovedret</v>
      </c>
      <c r="M96" s="69">
        <f ca="1">IF(L96=hovedret,Tilmeldingsoversigt!$C$16," ")</f>
        <v>55.016393442622949</v>
      </c>
      <c r="N96" s="68" t="str">
        <f>IF(Tilmeldingsoversigt!$I$8="x",hovedret," ")</f>
        <v>Hovedret</v>
      </c>
      <c r="O96" s="70">
        <f ca="1">IF(N96=hovedret,Tilmeldingsoversigt!$C$16," ")</f>
        <v>55.016393442622949</v>
      </c>
      <c r="P96" s="66"/>
    </row>
    <row r="97" spans="2:16" x14ac:dyDescent="0.25">
      <c r="B97" s="68" t="str">
        <f>IF(Tilmeldingsoversigt!$C$9="x",Aftensmad," ")</f>
        <v>Aftensmad</v>
      </c>
      <c r="C97" s="69">
        <f ca="1">IF(B97=Aftensmad,Tilmeldingsoversigt!$C$17," ")</f>
        <v>27.540983606557376</v>
      </c>
      <c r="D97" s="68" t="str">
        <f>IF(Tilmeldingsoversigt!$D$9="x",Aftensmad," ")</f>
        <v>Aftensmad</v>
      </c>
      <c r="E97" s="69">
        <f ca="1">IF(D97=Aftensmad,Tilmeldingsoversigt!$C$17," ")</f>
        <v>27.540983606557376</v>
      </c>
      <c r="F97" s="68" t="str">
        <f>IF(Tilmeldingsoversigt!$E$9="x",Aftensmad," ")</f>
        <v>Aftensmad</v>
      </c>
      <c r="G97" s="69">
        <f ca="1">IF(F97=Aftensmad,Tilmeldingsoversigt!$C$17," ")</f>
        <v>27.540983606557376</v>
      </c>
      <c r="H97" s="68" t="str">
        <f>IF(Tilmeldingsoversigt!$F$9="x",Aftensmad," ")</f>
        <v>Aftensmad</v>
      </c>
      <c r="I97" s="69">
        <f ca="1">IF(H97=Aftensmad,Tilmeldingsoversigt!$C$17," ")</f>
        <v>27.540983606557376</v>
      </c>
      <c r="J97" s="68" t="str">
        <f>IF(Tilmeldingsoversigt!$G$9="x",Aftensmad," ")</f>
        <v>Aftensmad</v>
      </c>
      <c r="K97" s="69">
        <f ca="1">IF(J97=Aftensmad,Tilmeldingsoversigt!$C$17," ")</f>
        <v>27.540983606557376</v>
      </c>
      <c r="L97" s="68" t="str">
        <f>IF(Tilmeldingsoversigt!$H$9="x",Aftensmad," ")</f>
        <v>Aftensmad</v>
      </c>
      <c r="M97" s="69">
        <f ca="1">IF(L97=Aftensmad,Tilmeldingsoversigt!$C$17," ")</f>
        <v>27.540983606557376</v>
      </c>
      <c r="N97" s="68" t="str">
        <f>IF(Tilmeldingsoversigt!$I$9="x",Aftensmad," ")</f>
        <v>Aftensmad</v>
      </c>
      <c r="O97" s="70">
        <f ca="1">IF(N97=Aftensmad,Tilmeldingsoversigt!$C$17," ")</f>
        <v>27.540983606557376</v>
      </c>
      <c r="P97" s="66"/>
    </row>
    <row r="98" spans="2:16" x14ac:dyDescent="0.25">
      <c r="B98" s="68" t="str">
        <f>IF(Tilmeldingsoversigt!$C$10="x",biret," ")</f>
        <v>Biret</v>
      </c>
      <c r="C98" s="69">
        <f>IF(B98=biret,biretpris," ")</f>
        <v>0</v>
      </c>
      <c r="D98" s="68" t="str">
        <f>IF(Tilmeldingsoversigt!$D$10="x",biret," ")</f>
        <v>Biret</v>
      </c>
      <c r="E98" s="69">
        <f>IF(D98=biret,biretpris," ")</f>
        <v>0</v>
      </c>
      <c r="F98" s="68" t="str">
        <f>IF(Tilmeldingsoversigt!$E$10="x",biret," ")</f>
        <v>Biret</v>
      </c>
      <c r="G98" s="69">
        <f>IF(F98=biret,biretpris," ")</f>
        <v>0</v>
      </c>
      <c r="H98" s="68" t="str">
        <f>IF(Tilmeldingsoversigt!$F$10="x",biret," ")</f>
        <v>Biret</v>
      </c>
      <c r="I98" s="69">
        <f>IF(H98=biret,biretpris," ")</f>
        <v>0</v>
      </c>
      <c r="J98" s="68" t="str">
        <f>IF(Tilmeldingsoversigt!$G$10="x",biret," ")</f>
        <v>Biret</v>
      </c>
      <c r="K98" s="69">
        <f>IF(J98=biret,biretpris," ")</f>
        <v>0</v>
      </c>
      <c r="L98" s="68" t="str">
        <f>IF(Tilmeldingsoversigt!$H$10="x",biret," ")</f>
        <v>Biret</v>
      </c>
      <c r="M98" s="69">
        <f>IF(L98=biret,biretpris," ")</f>
        <v>0</v>
      </c>
      <c r="N98" s="68" t="str">
        <f>IF(Tilmeldingsoversigt!$I$10="x",biret," ")</f>
        <v>Biret</v>
      </c>
      <c r="O98" s="70">
        <f>IF(N98=biret,biretpris," ")</f>
        <v>0</v>
      </c>
      <c r="P98" s="66"/>
    </row>
    <row r="99" spans="2:16" x14ac:dyDescent="0.25">
      <c r="B99" s="71" t="str">
        <f>IF(Tilmeldingsoversigt!$C$11="x",mellemmåltid," ")</f>
        <v xml:space="preserve"> </v>
      </c>
      <c r="C99" s="72" t="str">
        <f>IF(B99=mellemmåltid,mellemmåltidspris," ")</f>
        <v xml:space="preserve"> </v>
      </c>
      <c r="D99" s="71" t="str">
        <f>IF(Tilmeldingsoversigt!$C$11="x",mellemmåltid," ")</f>
        <v xml:space="preserve"> </v>
      </c>
      <c r="E99" s="72" t="str">
        <f>IF(D99=mellemmåltid,mellemmåltidspris," ")</f>
        <v xml:space="preserve"> </v>
      </c>
      <c r="F99" s="71" t="str">
        <f>IF(Tilmeldingsoversigt!$C$11="x",mellemmåltid," ")</f>
        <v xml:space="preserve"> </v>
      </c>
      <c r="G99" s="72" t="str">
        <f>IF(F99=mellemmåltid,mellemmåltidspris," ")</f>
        <v xml:space="preserve"> </v>
      </c>
      <c r="H99" s="71" t="str">
        <f>IF(Tilmeldingsoversigt!$C$11="x",mellemmåltid," ")</f>
        <v xml:space="preserve"> </v>
      </c>
      <c r="I99" s="72" t="str">
        <f>IF(H99=mellemmåltid,mellemmåltidspris," ")</f>
        <v xml:space="preserve"> </v>
      </c>
      <c r="J99" s="71" t="str">
        <f>IF(Tilmeldingsoversigt!$C$11="x",mellemmåltid," ")</f>
        <v xml:space="preserve"> </v>
      </c>
      <c r="K99" s="72" t="str">
        <f>IF(J99=mellemmåltid,mellemmåltidspris," ")</f>
        <v xml:space="preserve"> </v>
      </c>
      <c r="L99" s="71" t="str">
        <f>IF(Tilmeldingsoversigt!$C$11="x",mellemmåltid," ")</f>
        <v xml:space="preserve"> </v>
      </c>
      <c r="M99" s="72" t="str">
        <f>IF(L99=mellemmåltid,mellemmåltidspris," ")</f>
        <v xml:space="preserve"> </v>
      </c>
      <c r="N99" s="71" t="str">
        <f>IF(Tilmeldingsoversigt!$C$11="x",mellemmåltid," ")</f>
        <v xml:space="preserve"> </v>
      </c>
      <c r="O99" s="73" t="str">
        <f>IF(N99=mellemmåltid,mellemmåltidspris," ")</f>
        <v xml:space="preserve"> </v>
      </c>
      <c r="P99" s="66"/>
    </row>
    <row r="100" spans="2:16" x14ac:dyDescent="0.25">
      <c r="B100" s="74" t="s">
        <v>44</v>
      </c>
      <c r="C100" s="11">
        <f ca="1">SUM(C95:C99)</f>
        <v>99.311475409836063</v>
      </c>
      <c r="D100" s="74"/>
      <c r="E100" s="11">
        <f ca="1">SUM(E95:E99)</f>
        <v>99.311475409836063</v>
      </c>
      <c r="F100" s="74"/>
      <c r="G100" s="11">
        <f ca="1">SUM(G95:G99)</f>
        <v>99.311475409836063</v>
      </c>
      <c r="H100" s="74"/>
      <c r="I100" s="11">
        <f ca="1">SUM(I95:I99)</f>
        <v>99.311475409836063</v>
      </c>
      <c r="J100" s="74"/>
      <c r="K100" s="11">
        <f ca="1">SUM(K95:K99)</f>
        <v>99.311475409836063</v>
      </c>
      <c r="L100" s="74"/>
      <c r="M100" s="11">
        <f ca="1">SUM(M95:M99)</f>
        <v>99.311475409836063</v>
      </c>
      <c r="N100" s="74"/>
      <c r="O100" s="12">
        <f ca="1">SUM(O95:O99)</f>
        <v>99.311475409836063</v>
      </c>
      <c r="P100" s="75">
        <f ca="1">SUM(C100,E100,G100,I100,K100,M100,O100)</f>
        <v>695.18032786885237</v>
      </c>
    </row>
    <row r="101" spans="2:16" x14ac:dyDescent="0.2">
      <c r="B101" s="76"/>
      <c r="C101" s="77"/>
      <c r="D101" s="77"/>
      <c r="E101" s="77"/>
      <c r="F101" s="77"/>
      <c r="G101" s="77"/>
      <c r="H101" s="77"/>
      <c r="I101" s="77"/>
      <c r="J101" s="77"/>
      <c r="K101" s="77"/>
      <c r="L101" s="77"/>
      <c r="M101" s="77"/>
      <c r="N101" s="77"/>
      <c r="O101" s="77"/>
      <c r="P101" s="76"/>
    </row>
    <row r="102" spans="2:16" ht="12.75" x14ac:dyDescent="0.25">
      <c r="B102" s="78">
        <f>DAY(IF(DAY(FebSøn1)=1,FebSøn1+22,FebSøn1+29))</f>
        <v>26</v>
      </c>
      <c r="C102" s="79"/>
      <c r="D102" s="78">
        <f>DAY(IF(DAY(FebSøn1)=1,FebSøn1+23,FebSøn1+30))</f>
        <v>27</v>
      </c>
      <c r="E102" s="79"/>
      <c r="F102" s="78">
        <f>DAY(IF(DAY(FebSøn1)=1,FebSøn1+24,FebSøn1+31))</f>
        <v>28</v>
      </c>
      <c r="G102" s="79"/>
      <c r="H102" s="78">
        <f>DAY(IF(DAY(FebSøn1)=1,FebSøn1+25,FebSøn1+32))</f>
        <v>29</v>
      </c>
      <c r="I102" s="79"/>
      <c r="J102" s="78">
        <f>DAY(IF(DAY(FebSøn1)=1,FebSøn1+26,FebSøn1+33))</f>
        <v>1</v>
      </c>
      <c r="K102" s="79"/>
      <c r="L102" s="78">
        <f>DAY(IF(DAY(FebSøn1)=1,FebSøn1+27,FebSøn1+34))</f>
        <v>2</v>
      </c>
      <c r="M102" s="79"/>
      <c r="N102" s="78">
        <f>DAY(IF(DAY(FebSøn1)=1,FebSøn1+28,FebSøn1+35))</f>
        <v>3</v>
      </c>
      <c r="O102" s="79"/>
      <c r="P102" s="85"/>
    </row>
    <row r="103" spans="2:16" x14ac:dyDescent="0.25">
      <c r="B103" s="64" t="s">
        <v>42</v>
      </c>
      <c r="C103" s="81" t="s">
        <v>43</v>
      </c>
      <c r="D103" s="64" t="s">
        <v>42</v>
      </c>
      <c r="E103" s="81" t="s">
        <v>43</v>
      </c>
      <c r="F103" s="64" t="s">
        <v>42</v>
      </c>
      <c r="G103" s="81" t="s">
        <v>43</v>
      </c>
      <c r="H103" s="64" t="s">
        <v>42</v>
      </c>
      <c r="I103" s="81" t="s">
        <v>43</v>
      </c>
      <c r="J103" s="64" t="s">
        <v>42</v>
      </c>
      <c r="K103" s="81" t="s">
        <v>43</v>
      </c>
      <c r="L103" s="64" t="s">
        <v>42</v>
      </c>
      <c r="M103" s="81" t="s">
        <v>43</v>
      </c>
      <c r="N103" s="64" t="s">
        <v>42</v>
      </c>
      <c r="O103" s="82" t="s">
        <v>43</v>
      </c>
      <c r="P103" s="66"/>
    </row>
    <row r="104" spans="2:16" x14ac:dyDescent="0.25">
      <c r="B104" s="136" t="str">
        <f>IF(Tilmeldingsoversigt!$C$7="x",Morgenmad," ")</f>
        <v>Morgenmad</v>
      </c>
      <c r="C104" s="67">
        <f ca="1">IF(B104=Morgenmad,Tilmeldingsoversigt!$C$15," ")</f>
        <v>16.754098360655739</v>
      </c>
      <c r="D104" s="136"/>
      <c r="E104" s="67" t="str">
        <f>IF(D104=Morgenmad,Tilmeldingsoversigt!$C$15," ")</f>
        <v xml:space="preserve"> </v>
      </c>
      <c r="F104" s="136"/>
      <c r="G104" s="67" t="str">
        <f>IF(F104=Morgenmad,Tilmeldingsoversigt!$C$15," ")</f>
        <v xml:space="preserve"> </v>
      </c>
      <c r="H104" s="136"/>
      <c r="I104" s="67" t="str">
        <f>IF(H104=Morgenmad,Tilmeldingsoversigt!$C$15," ")</f>
        <v xml:space="preserve"> </v>
      </c>
      <c r="J104" s="136"/>
      <c r="K104" s="67" t="str">
        <f>IF(J104=Morgenmad,Tilmeldingsoversigt!$C$15," ")</f>
        <v xml:space="preserve"> </v>
      </c>
      <c r="L104" s="136"/>
      <c r="M104" s="67" t="str">
        <f>IF(L104=Morgenmad,Tilmeldingsoversigt!$C$15," ")</f>
        <v xml:space="preserve"> </v>
      </c>
      <c r="N104" s="139"/>
      <c r="O104" s="86" t="str">
        <f>IF(N104=Morgenmad,Tilmeldingsoversigt!$C$15," ")</f>
        <v xml:space="preserve"> </v>
      </c>
      <c r="P104" s="66"/>
    </row>
    <row r="105" spans="2:16" x14ac:dyDescent="0.25">
      <c r="B105" s="68" t="str">
        <f>IF(Tilmeldingsoversigt!$C$8="x",hovedret," ")</f>
        <v>Hovedret</v>
      </c>
      <c r="C105" s="69">
        <f ca="1">IF(B105=hovedret,Tilmeldingsoversigt!$C$16," ")</f>
        <v>55.016393442622949</v>
      </c>
      <c r="D105" s="68"/>
      <c r="E105" s="69" t="str">
        <f>IF(D105=hovedret,Tilmeldingsoversigt!$C$16," ")</f>
        <v xml:space="preserve"> </v>
      </c>
      <c r="F105" s="68"/>
      <c r="G105" s="69" t="str">
        <f>IF(F105=hovedret,Tilmeldingsoversigt!$C$16," ")</f>
        <v xml:space="preserve"> </v>
      </c>
      <c r="H105" s="68"/>
      <c r="I105" s="69" t="str">
        <f>IF(H105=hovedret,Tilmeldingsoversigt!$C$16," ")</f>
        <v xml:space="preserve"> </v>
      </c>
      <c r="J105" s="68"/>
      <c r="K105" s="69" t="str">
        <f>IF(J105=hovedret,Tilmeldingsoversigt!$C$16," ")</f>
        <v xml:space="preserve"> </v>
      </c>
      <c r="L105" s="68"/>
      <c r="M105" s="69" t="str">
        <f>IF(L105=hovedret,Tilmeldingsoversigt!$C$16," ")</f>
        <v xml:space="preserve"> </v>
      </c>
      <c r="N105" s="87"/>
      <c r="O105" s="88" t="str">
        <f>IF(N105=hovedret,Tilmeldingsoversigt!$C$16," ")</f>
        <v xml:space="preserve"> </v>
      </c>
      <c r="P105" s="66"/>
    </row>
    <row r="106" spans="2:16" x14ac:dyDescent="0.25">
      <c r="B106" s="68" t="str">
        <f>IF(Tilmeldingsoversigt!$C$9="x",Aftensmad," ")</f>
        <v>Aftensmad</v>
      </c>
      <c r="C106" s="69">
        <f ca="1">IF(B106=Aftensmad,Tilmeldingsoversigt!$C$17," ")</f>
        <v>27.540983606557376</v>
      </c>
      <c r="D106" s="68"/>
      <c r="E106" s="69" t="str">
        <f>IF(D106=Aftensmad,Tilmeldingsoversigt!$C$17," ")</f>
        <v xml:space="preserve"> </v>
      </c>
      <c r="F106" s="68"/>
      <c r="G106" s="69" t="str">
        <f>IF(F106=Aftensmad,Tilmeldingsoversigt!$C$17," ")</f>
        <v xml:space="preserve"> </v>
      </c>
      <c r="H106" s="68"/>
      <c r="I106" s="69" t="str">
        <f>IF(H106=Aftensmad,Tilmeldingsoversigt!$C$17," ")</f>
        <v xml:space="preserve"> </v>
      </c>
      <c r="J106" s="68"/>
      <c r="K106" s="69" t="str">
        <f>IF(J106=Aftensmad,Tilmeldingsoversigt!$C$17," ")</f>
        <v xml:space="preserve"> </v>
      </c>
      <c r="L106" s="68"/>
      <c r="M106" s="69" t="str">
        <f>IF(L106=Aftensmad,Tilmeldingsoversigt!$C$17," ")</f>
        <v xml:space="preserve"> </v>
      </c>
      <c r="N106" s="87"/>
      <c r="O106" s="88" t="str">
        <f>IF(N106=Aftensmad,Tilmeldingsoversigt!$C$17," ")</f>
        <v xml:space="preserve"> </v>
      </c>
      <c r="P106" s="66"/>
    </row>
    <row r="107" spans="2:16" x14ac:dyDescent="0.25">
      <c r="B107" s="68" t="str">
        <f>IF(Tilmeldingsoversigt!$C$10="x",biret," ")</f>
        <v>Biret</v>
      </c>
      <c r="C107" s="69">
        <f>IF(B107=biret,biretpris," ")</f>
        <v>0</v>
      </c>
      <c r="D107" s="68"/>
      <c r="E107" s="69" t="str">
        <f>IF(D107=biret,biretpris," ")</f>
        <v xml:space="preserve"> </v>
      </c>
      <c r="F107" s="68"/>
      <c r="G107" s="69" t="str">
        <f>IF(F107=biret,biretpris," ")</f>
        <v xml:space="preserve"> </v>
      </c>
      <c r="H107" s="68"/>
      <c r="I107" s="69" t="str">
        <f>IF(H107=biret,biretpris," ")</f>
        <v xml:space="preserve"> </v>
      </c>
      <c r="J107" s="68"/>
      <c r="K107" s="69" t="str">
        <f>IF(J107=biret,biretpris," ")</f>
        <v xml:space="preserve"> </v>
      </c>
      <c r="L107" s="68"/>
      <c r="M107" s="69" t="str">
        <f>IF(L107=biret,biretpris," ")</f>
        <v xml:space="preserve"> </v>
      </c>
      <c r="N107" s="68"/>
      <c r="O107" s="70"/>
      <c r="P107" s="66"/>
    </row>
    <row r="108" spans="2:16" x14ac:dyDescent="0.25">
      <c r="B108" s="71" t="str">
        <f>IF(Tilmeldingsoversigt!$C$11="x",mellemmåltid," ")</f>
        <v xml:space="preserve"> </v>
      </c>
      <c r="C108" s="72" t="str">
        <f>IF(B108=mellemmåltid,mellemmåltidspris," ")</f>
        <v xml:space="preserve"> </v>
      </c>
      <c r="D108" s="71"/>
      <c r="E108" s="72" t="str">
        <f>IF(D108=mellemmåltid,mellemmåltidspris," ")</f>
        <v xml:space="preserve"> </v>
      </c>
      <c r="F108" s="71"/>
      <c r="G108" s="72" t="str">
        <f>IF(F108=mellemmåltid,mellemmåltidspris," ")</f>
        <v xml:space="preserve"> </v>
      </c>
      <c r="H108" s="71"/>
      <c r="I108" s="72" t="str">
        <f>IF(H108=mellemmåltid,mellemmåltidspris," ")</f>
        <v xml:space="preserve"> </v>
      </c>
      <c r="J108" s="71"/>
      <c r="K108" s="72" t="str">
        <f>IF(J108=mellemmåltid,mellemmåltidspris," ")</f>
        <v xml:space="preserve"> </v>
      </c>
      <c r="L108" s="71"/>
      <c r="M108" s="72" t="str">
        <f>IF(L108=mellemmåltid,mellemmåltidspris," ")</f>
        <v xml:space="preserve"> </v>
      </c>
      <c r="N108" s="71"/>
      <c r="O108" s="73"/>
      <c r="P108" s="66"/>
    </row>
    <row r="109" spans="2:16" x14ac:dyDescent="0.25">
      <c r="B109" s="74" t="s">
        <v>44</v>
      </c>
      <c r="C109" s="11">
        <f ca="1">SUM(C104:C108)</f>
        <v>99.311475409836063</v>
      </c>
      <c r="D109" s="74"/>
      <c r="E109" s="11">
        <f>SUM(E104:E108)</f>
        <v>0</v>
      </c>
      <c r="F109" s="74"/>
      <c r="G109" s="11">
        <f>SUM(G104:G108)</f>
        <v>0</v>
      </c>
      <c r="H109" s="74"/>
      <c r="I109" s="11">
        <f>SUM(I104:I108)</f>
        <v>0</v>
      </c>
      <c r="J109" s="74"/>
      <c r="K109" s="11">
        <f>SUM(K104:K108)</f>
        <v>0</v>
      </c>
      <c r="L109" s="74"/>
      <c r="M109" s="11">
        <f>SUM(M104:M108)</f>
        <v>0</v>
      </c>
      <c r="N109" s="74"/>
      <c r="O109" s="12">
        <f>SUM(O104:O108)</f>
        <v>0</v>
      </c>
      <c r="P109" s="75">
        <f ca="1">SUMIF(B102:N102,"&gt;="&amp;15,C109:O109)</f>
        <v>99.311475409836063</v>
      </c>
    </row>
    <row r="110" spans="2:16" x14ac:dyDescent="0.2">
      <c r="B110" s="76"/>
      <c r="C110" s="77"/>
      <c r="D110" s="77"/>
      <c r="E110" s="77"/>
      <c r="F110" s="77"/>
      <c r="G110" s="77"/>
      <c r="H110" s="77"/>
      <c r="I110" s="77"/>
      <c r="J110" s="77"/>
      <c r="K110" s="77"/>
      <c r="L110" s="77"/>
      <c r="M110" s="77"/>
      <c r="N110" s="77"/>
      <c r="O110" s="77"/>
      <c r="P110" s="76"/>
    </row>
    <row r="111" spans="2:16" ht="12.75" hidden="1" x14ac:dyDescent="0.25">
      <c r="B111" s="78">
        <f>DAY(IF(DAY(FebSøn1)=1,FebSøn1+29,FebSøn1+36))</f>
        <v>4</v>
      </c>
      <c r="C111" s="91"/>
      <c r="D111" s="78">
        <f>DAY(IF(DAY(FebSøn1)=1,FebSøn1+30,FebSøn1+37))</f>
        <v>5</v>
      </c>
      <c r="E111" s="79"/>
      <c r="F111" s="92">
        <f>DAY(IF(DAY(FebSøn1)=1,FebSøn1+31,FebSøn1+38))</f>
        <v>6</v>
      </c>
      <c r="G111" s="79"/>
      <c r="H111" s="78">
        <f>DAY(IF(DAY(FebSøn1)=1,FebSøn1+32,FebSøn1+39))</f>
        <v>7</v>
      </c>
      <c r="I111" s="79"/>
      <c r="J111" s="78">
        <f>DAY(IF(DAY(FebSøn1)=1,FebSøn1+33,FebSøn1+40))</f>
        <v>8</v>
      </c>
      <c r="K111" s="79"/>
      <c r="L111" s="78">
        <f>DAY(IF(DAY(FebSøn1)=1,FebSøn1+34,FebSøn1+41))</f>
        <v>9</v>
      </c>
      <c r="M111" s="79"/>
      <c r="N111" s="78">
        <f>DAY(IF(DAY(FebSøn1)=1,FebSøn1+35,FebSøn1+42))</f>
        <v>10</v>
      </c>
      <c r="O111" s="79"/>
      <c r="P111" s="85"/>
    </row>
    <row r="112" spans="2:16" hidden="1" x14ac:dyDescent="0.25">
      <c r="B112" s="64" t="s">
        <v>42</v>
      </c>
      <c r="C112" s="81" t="s">
        <v>43</v>
      </c>
      <c r="D112" s="64" t="s">
        <v>42</v>
      </c>
      <c r="E112" s="81" t="s">
        <v>43</v>
      </c>
      <c r="F112" s="64" t="s">
        <v>42</v>
      </c>
      <c r="G112" s="81" t="s">
        <v>43</v>
      </c>
      <c r="H112" s="64" t="s">
        <v>42</v>
      </c>
      <c r="I112" s="81" t="s">
        <v>43</v>
      </c>
      <c r="J112" s="64" t="s">
        <v>42</v>
      </c>
      <c r="K112" s="81" t="s">
        <v>43</v>
      </c>
      <c r="L112" s="64" t="s">
        <v>42</v>
      </c>
      <c r="M112" s="81" t="s">
        <v>43</v>
      </c>
      <c r="N112" s="64" t="s">
        <v>42</v>
      </c>
      <c r="O112" s="82" t="s">
        <v>43</v>
      </c>
      <c r="P112" s="66"/>
    </row>
    <row r="113" spans="2:16" hidden="1" x14ac:dyDescent="0.25">
      <c r="B113" s="136"/>
      <c r="C113" s="67"/>
      <c r="D113" s="136"/>
      <c r="E113" s="67"/>
      <c r="F113" s="136"/>
      <c r="G113" s="67"/>
      <c r="H113" s="136"/>
      <c r="I113" s="67"/>
      <c r="J113" s="136"/>
      <c r="K113" s="67"/>
      <c r="L113" s="136"/>
      <c r="M113" s="67"/>
      <c r="N113" s="136"/>
      <c r="O113" s="83" t="str">
        <f>IF(N113=Morgenmad,Tilmeldingsoversigt!$C$15," ")</f>
        <v xml:space="preserve"> </v>
      </c>
      <c r="P113" s="66"/>
    </row>
    <row r="114" spans="2:16" hidden="1" x14ac:dyDescent="0.25">
      <c r="B114" s="68"/>
      <c r="C114" s="69"/>
      <c r="D114" s="68"/>
      <c r="E114" s="69"/>
      <c r="F114" s="68"/>
      <c r="G114" s="69"/>
      <c r="H114" s="68"/>
      <c r="I114" s="69"/>
      <c r="J114" s="68"/>
      <c r="K114" s="69"/>
      <c r="L114" s="68"/>
      <c r="M114" s="69"/>
      <c r="N114" s="68"/>
      <c r="O114" s="70" t="str">
        <f>IF(N114=hovedret,Tilmeldingsoversigt!$C$16," ")</f>
        <v xml:space="preserve"> </v>
      </c>
      <c r="P114" s="66"/>
    </row>
    <row r="115" spans="2:16" hidden="1" x14ac:dyDescent="0.25">
      <c r="B115" s="68"/>
      <c r="C115" s="69"/>
      <c r="D115" s="68"/>
      <c r="E115" s="69"/>
      <c r="F115" s="68"/>
      <c r="G115" s="69"/>
      <c r="H115" s="68"/>
      <c r="I115" s="69"/>
      <c r="J115" s="68"/>
      <c r="K115" s="69"/>
      <c r="L115" s="68"/>
      <c r="M115" s="69"/>
      <c r="N115" s="68"/>
      <c r="O115" s="70" t="str">
        <f>IF(N115=Aftensmad,Tilmeldingsoversigt!$C$17," ")</f>
        <v xml:space="preserve"> </v>
      </c>
      <c r="P115" s="66"/>
    </row>
    <row r="116" spans="2:16" hidden="1" x14ac:dyDescent="0.25">
      <c r="B116" s="68"/>
      <c r="C116" s="69"/>
      <c r="D116" s="68"/>
      <c r="E116" s="69"/>
      <c r="F116" s="68"/>
      <c r="G116" s="69"/>
      <c r="H116" s="68"/>
      <c r="I116" s="69"/>
      <c r="J116" s="68"/>
      <c r="K116" s="69"/>
      <c r="L116" s="68"/>
      <c r="M116" s="69"/>
      <c r="N116" s="68"/>
      <c r="O116" s="70"/>
      <c r="P116" s="66"/>
    </row>
    <row r="117" spans="2:16" hidden="1" x14ac:dyDescent="0.25">
      <c r="B117" s="71"/>
      <c r="C117" s="72"/>
      <c r="D117" s="71"/>
      <c r="E117" s="72"/>
      <c r="F117" s="71"/>
      <c r="G117" s="72"/>
      <c r="H117" s="71"/>
      <c r="I117" s="72"/>
      <c r="J117" s="71"/>
      <c r="K117" s="72"/>
      <c r="L117" s="71"/>
      <c r="M117" s="72"/>
      <c r="N117" s="71"/>
      <c r="O117" s="73"/>
      <c r="P117" s="66"/>
    </row>
    <row r="118" spans="2:16" hidden="1" x14ac:dyDescent="0.25">
      <c r="B118" s="74" t="s">
        <v>44</v>
      </c>
      <c r="C118" s="11">
        <f>SUM(C113:C117)</f>
        <v>0</v>
      </c>
      <c r="D118" s="74"/>
      <c r="E118" s="11">
        <f>SUM(E113:E117)</f>
        <v>0</v>
      </c>
      <c r="F118" s="74"/>
      <c r="G118" s="11">
        <f>SUM(G113:G117)</f>
        <v>0</v>
      </c>
      <c r="H118" s="74"/>
      <c r="I118" s="11">
        <f>SUM(I113:I117)</f>
        <v>0</v>
      </c>
      <c r="J118" s="74"/>
      <c r="K118" s="11">
        <f>SUM(K113:K117)</f>
        <v>0</v>
      </c>
      <c r="L118" s="74"/>
      <c r="M118" s="11">
        <f>SUM(M113:M117)</f>
        <v>0</v>
      </c>
      <c r="N118" s="74"/>
      <c r="O118" s="12">
        <f>SUM(O113:O117)</f>
        <v>0</v>
      </c>
      <c r="P118" s="75">
        <f>SUMIF(B111:N111,"&gt;="&amp;15,C118:O118)</f>
        <v>0</v>
      </c>
    </row>
    <row r="119" spans="2:16" ht="17.25" customHeight="1" x14ac:dyDescent="0.2"/>
    <row r="120" spans="2:16" ht="15" x14ac:dyDescent="0.25">
      <c r="B120" s="246" t="s">
        <v>46</v>
      </c>
      <c r="C120" s="246"/>
      <c r="D120" s="246"/>
      <c r="E120" s="246"/>
      <c r="F120" s="51" t="s">
        <v>82</v>
      </c>
      <c r="G120" s="51"/>
      <c r="H120" s="51"/>
      <c r="I120" s="51"/>
      <c r="J120" s="51"/>
      <c r="K120" s="51"/>
      <c r="L120" s="247" t="s">
        <v>83</v>
      </c>
      <c r="M120" s="247"/>
      <c r="N120" s="247" t="s">
        <v>84</v>
      </c>
      <c r="O120" s="247"/>
      <c r="P120" s="49"/>
    </row>
    <row r="121" spans="2:16" ht="25.5" customHeight="1" x14ac:dyDescent="0.25">
      <c r="B121" s="246"/>
      <c r="C121" s="246"/>
      <c r="D121" s="246"/>
      <c r="E121" s="246"/>
      <c r="F121" s="97" t="str">
        <f>Morgenmad</f>
        <v>Morgenmad</v>
      </c>
      <c r="G121" s="97">
        <f ca="1">IF(marts_sum=0,0,(COUNTIF($B$127:$O$176,Morgenmad)))-'Tilmeldte måltider'!G122</f>
        <v>0</v>
      </c>
      <c r="H121" s="97" t="str">
        <f>hovedret</f>
        <v>Hovedret</v>
      </c>
      <c r="I121" s="97">
        <f ca="1">IF(marts_sum=0,0,(COUNTIF(B126:O175,hovedret)))-'Tilmeldte måltider'!I122</f>
        <v>0</v>
      </c>
      <c r="J121" s="97" t="str">
        <f>Aftensmad</f>
        <v>Aftensmad</v>
      </c>
      <c r="K121" s="97">
        <f ca="1">IF(marts_sum=0,0,(COUNTIF(B126:O175,Aftensmad)))-'Tilmeldte måltider'!K122</f>
        <v>0</v>
      </c>
      <c r="L121" s="268" t="e">
        <f ca="1">(G121*Morgenpris)+(I121*Frokostpris)+(K121*Aftenpris)+(G122*biretpris)+(I122*mellemmåltidspris)+(M122*gæstehpris)+(O122*gæstebpris)</f>
        <v>#VALUE!</v>
      </c>
      <c r="M121" s="269"/>
      <c r="N121" s="270" t="e">
        <f ca="1">$L$3+$L$62+$L$121+$L$180+$L$239+$L$298</f>
        <v>#VALUE!</v>
      </c>
      <c r="O121" s="271"/>
      <c r="P121" s="49"/>
    </row>
    <row r="122" spans="2:16" ht="25.5" customHeight="1" x14ac:dyDescent="0.45">
      <c r="B122" s="121"/>
      <c r="C122" s="121"/>
      <c r="D122" s="121"/>
      <c r="E122" s="121"/>
      <c r="F122" s="98" t="str">
        <f>biret</f>
        <v>Biret</v>
      </c>
      <c r="G122" s="97">
        <f ca="1">IF(marts_sum=0,0,(COUNTIF($B$127:$O$176,biret)))-'Tilmeldte måltider'!G123</f>
        <v>0</v>
      </c>
      <c r="H122" s="98" t="str">
        <f>mellemmåltid</f>
        <v>Mellemmåltid</v>
      </c>
      <c r="I122" s="97">
        <f ca="1">IF(marts_sum=0,0,(COUNTIF($B$127:$O$176,mellemmåltid)))-'Tilmeldte måltider'!I123</f>
        <v>0</v>
      </c>
      <c r="J122" s="140" t="s">
        <v>105</v>
      </c>
      <c r="K122" s="140"/>
      <c r="L122" s="141" t="s">
        <v>25</v>
      </c>
      <c r="M122" s="100"/>
      <c r="N122" s="141" t="s">
        <v>15</v>
      </c>
      <c r="O122" s="100"/>
      <c r="P122" s="49"/>
    </row>
    <row r="123" spans="2:16" ht="9" customHeight="1" x14ac:dyDescent="0.2">
      <c r="B123" s="251">
        <v>1</v>
      </c>
      <c r="C123" s="251"/>
      <c r="D123" s="251">
        <v>2</v>
      </c>
      <c r="E123" s="251"/>
      <c r="F123" s="251">
        <v>3</v>
      </c>
      <c r="G123" s="251"/>
      <c r="H123" s="251">
        <v>4</v>
      </c>
      <c r="I123" s="251"/>
      <c r="J123" s="251">
        <v>5</v>
      </c>
      <c r="K123" s="251"/>
      <c r="L123" s="251">
        <v>6</v>
      </c>
      <c r="M123" s="251"/>
      <c r="N123" s="251">
        <v>7</v>
      </c>
      <c r="O123" s="251"/>
      <c r="P123" s="50"/>
    </row>
    <row r="124" spans="2:16" ht="15" customHeight="1" x14ac:dyDescent="0.25">
      <c r="B124" s="252" t="s">
        <v>34</v>
      </c>
      <c r="C124" s="253"/>
      <c r="D124" s="254" t="s">
        <v>35</v>
      </c>
      <c r="E124" s="255" t="e">
        <f>IF(WEEKDAY(DATEVALUE(Month1&amp;" 1, "&amp;Year1))=COLUMN(#REF!),1,IF(LEN(C124)&gt;0,C124+1,""))</f>
        <v>#NAME?</v>
      </c>
      <c r="F124" s="253" t="s">
        <v>36</v>
      </c>
      <c r="G124" s="253" t="e">
        <f>IF(WEEKDAY(DATEVALUE(Month1&amp;" 1, "&amp;Year1))=COLUMN(#REF!),1,IF(LEN(E124)&gt;0,E124+1,""))</f>
        <v>#NAME?</v>
      </c>
      <c r="H124" s="254" t="s">
        <v>37</v>
      </c>
      <c r="I124" s="255" t="e">
        <f>IF(WEEKDAY(DATEVALUE(Month1&amp;" 1, "&amp;Year1))=COLUMN(#REF!),1,IF(LEN(G124)&gt;0,G124+1,""))</f>
        <v>#NAME?</v>
      </c>
      <c r="J124" s="256" t="s">
        <v>38</v>
      </c>
      <c r="K124" s="257" t="e">
        <f>IF(WEEKDAY(DATEVALUE(Month1&amp;" 1, "&amp;Year1))=COLUMN(#REF!),1,IF(LEN(I124)&gt;0,I124+1,""))</f>
        <v>#NAME?</v>
      </c>
      <c r="L124" s="258" t="s">
        <v>39</v>
      </c>
      <c r="M124" s="259" t="e">
        <f>IF(WEEKDAY(DATEVALUE(Month1&amp;" 1, "&amp;Year1))=COLUMN(#REF!),1,IF(LEN(K124)&gt;0,K124+1,""))</f>
        <v>#NAME?</v>
      </c>
      <c r="N124" s="258" t="s">
        <v>40</v>
      </c>
      <c r="O124" s="259" t="e">
        <f>IF(WEEKDAY(DATEVALUE(Month1&amp;" 1, "&amp;Year1))=COLUMN(#REF!),1,IF(LEN(M124)&gt;0,M124+1,""))</f>
        <v>#NAME?</v>
      </c>
      <c r="P124" s="53" t="s">
        <v>41</v>
      </c>
    </row>
    <row r="125" spans="2:16" ht="12.75" x14ac:dyDescent="0.25">
      <c r="B125" s="55">
        <f>DAY(IF(DAY(MarSøn1)=1,MarSøn1-6,MarSøn1+1))</f>
        <v>26</v>
      </c>
      <c r="C125" s="56"/>
      <c r="D125" s="57">
        <f>DAY(IF(DAY(MarSøn1)=1,MarSøn1-5,MarSøn1+2))</f>
        <v>27</v>
      </c>
      <c r="E125" s="56"/>
      <c r="F125" s="57">
        <f>DAY(IF(DAY(MarSøn1)=1,MarSøn1-4,MarSøn1+3))</f>
        <v>28</v>
      </c>
      <c r="G125" s="56"/>
      <c r="H125" s="57">
        <f>DAY(IF(DAY(MarSøn1)=1,MarSøn1-3,MarSøn1+4))</f>
        <v>29</v>
      </c>
      <c r="I125" s="56"/>
      <c r="J125" s="57">
        <f>DAY(IF(DAY(MarSøn1)=1,MarSøn1-2,MarSøn1+5))</f>
        <v>1</v>
      </c>
      <c r="K125" s="56"/>
      <c r="L125" s="57">
        <f>DAY(IF(DAY(MarSøn1)=1,MarSøn1-1,MarSøn1+6))</f>
        <v>2</v>
      </c>
      <c r="M125" s="56"/>
      <c r="N125" s="58">
        <f>DAY(IF(DAY(MarSøn1)=1,MarSøn1,MarSøn1+7))</f>
        <v>3</v>
      </c>
      <c r="O125" s="59"/>
      <c r="P125" s="60"/>
    </row>
    <row r="126" spans="2:16" x14ac:dyDescent="0.25">
      <c r="B126" s="61" t="s">
        <v>42</v>
      </c>
      <c r="C126" s="62" t="s">
        <v>43</v>
      </c>
      <c r="D126" s="63" t="s">
        <v>42</v>
      </c>
      <c r="E126" s="62" t="s">
        <v>43</v>
      </c>
      <c r="F126" s="63" t="s">
        <v>42</v>
      </c>
      <c r="G126" s="62" t="s">
        <v>43</v>
      </c>
      <c r="H126" s="63" t="s">
        <v>42</v>
      </c>
      <c r="I126" s="62" t="s">
        <v>43</v>
      </c>
      <c r="J126" s="63" t="s">
        <v>42</v>
      </c>
      <c r="K126" s="62" t="s">
        <v>43</v>
      </c>
      <c r="L126" s="63" t="s">
        <v>42</v>
      </c>
      <c r="M126" s="62" t="s">
        <v>43</v>
      </c>
      <c r="N126" s="64" t="s">
        <v>42</v>
      </c>
      <c r="O126" s="65" t="s">
        <v>43</v>
      </c>
      <c r="P126" s="66"/>
    </row>
    <row r="127" spans="2:16" x14ac:dyDescent="0.25">
      <c r="B127" s="136"/>
      <c r="C127" s="67"/>
      <c r="D127" s="136" t="str">
        <f>IF(Tilmeldingsoversigt!$D$7="x",Morgenmad," ")</f>
        <v>Morgenmad</v>
      </c>
      <c r="E127" s="67">
        <f ca="1">IF(D127=Morgenmad,Tilmeldingsoversigt!$C$15," ")</f>
        <v>16.754098360655739</v>
      </c>
      <c r="F127" s="136" t="str">
        <f>IF(Tilmeldingsoversigt!$E$7="x",Morgenmad," ")</f>
        <v>Morgenmad</v>
      </c>
      <c r="G127" s="67">
        <f ca="1">IF(F127=Morgenmad,Tilmeldingsoversigt!$C$15," ")</f>
        <v>16.754098360655739</v>
      </c>
      <c r="H127" s="136" t="str">
        <f>IF(Tilmeldingsoversigt!$F$7="x",Morgenmad," ")</f>
        <v>Morgenmad</v>
      </c>
      <c r="I127" s="67">
        <f ca="1">IF(H127=Morgenmad,Tilmeldingsoversigt!$C$15," ")</f>
        <v>16.754098360655739</v>
      </c>
      <c r="J127" s="136" t="str">
        <f>IF(Tilmeldingsoversigt!$G$7="x",Morgenmad," ")</f>
        <v>Morgenmad</v>
      </c>
      <c r="K127" s="67">
        <f ca="1">IF(J127=Morgenmad,Tilmeldingsoversigt!$C$15," ")</f>
        <v>16.754098360655739</v>
      </c>
      <c r="L127" s="136" t="str">
        <f>IF(Tilmeldingsoversigt!$H$7="x",Morgenmad," ")</f>
        <v>Morgenmad</v>
      </c>
      <c r="M127" s="67">
        <f ca="1">IF(L127=Morgenmad,Tilmeldingsoversigt!$C$15," ")</f>
        <v>16.754098360655739</v>
      </c>
      <c r="N127" s="136" t="str">
        <f>IF(Tilmeldingsoversigt!$I$7="x",Morgenmad," ")</f>
        <v>Morgenmad</v>
      </c>
      <c r="O127" s="83">
        <f ca="1">IF(N127=Morgenmad,Tilmeldingsoversigt!$C$15," ")</f>
        <v>16.754098360655739</v>
      </c>
      <c r="P127" s="66"/>
    </row>
    <row r="128" spans="2:16" x14ac:dyDescent="0.25">
      <c r="B128" s="68"/>
      <c r="C128" s="69"/>
      <c r="D128" s="68" t="str">
        <f>IF(Tilmeldingsoversigt!$D$8="x",hovedret," ")</f>
        <v>Hovedret</v>
      </c>
      <c r="E128" s="69">
        <f ca="1">IF(D128=hovedret,Tilmeldingsoversigt!$C$16," ")</f>
        <v>55.016393442622949</v>
      </c>
      <c r="F128" s="68" t="str">
        <f>IF(Tilmeldingsoversigt!$E$8="x",hovedret," ")</f>
        <v>Hovedret</v>
      </c>
      <c r="G128" s="69">
        <f ca="1">IF(F128=hovedret,Tilmeldingsoversigt!$C$16," ")</f>
        <v>55.016393442622949</v>
      </c>
      <c r="H128" s="68" t="str">
        <f>IF(Tilmeldingsoversigt!$F$8="x",hovedret," ")</f>
        <v>Hovedret</v>
      </c>
      <c r="I128" s="69">
        <f ca="1">IF(H128=hovedret,Tilmeldingsoversigt!$C$16," ")</f>
        <v>55.016393442622949</v>
      </c>
      <c r="J128" s="68" t="str">
        <f>IF(Tilmeldingsoversigt!$G$8="x",hovedret," ")</f>
        <v>Hovedret</v>
      </c>
      <c r="K128" s="69">
        <f ca="1">IF(J128=hovedret,Tilmeldingsoversigt!$C$16," ")</f>
        <v>55.016393442622949</v>
      </c>
      <c r="L128" s="68" t="str">
        <f>IF(Tilmeldingsoversigt!$H$8="x",hovedret," ")</f>
        <v>Hovedret</v>
      </c>
      <c r="M128" s="69">
        <f ca="1">IF(L128=hovedret,Tilmeldingsoversigt!$C$16," ")</f>
        <v>55.016393442622949</v>
      </c>
      <c r="N128" s="68" t="str">
        <f>IF(Tilmeldingsoversigt!$I$8="x",hovedret," ")</f>
        <v>Hovedret</v>
      </c>
      <c r="O128" s="70">
        <f ca="1">IF(N128=hovedret,Tilmeldingsoversigt!$C$16," ")</f>
        <v>55.016393442622949</v>
      </c>
      <c r="P128" s="66"/>
    </row>
    <row r="129" spans="2:16" x14ac:dyDescent="0.25">
      <c r="B129" s="68"/>
      <c r="C129" s="69"/>
      <c r="D129" s="68" t="str">
        <f>IF(Tilmeldingsoversigt!$D$9="x",Aftensmad," ")</f>
        <v>Aftensmad</v>
      </c>
      <c r="E129" s="69">
        <f ca="1">IF(D129=Aftensmad,Tilmeldingsoversigt!$C$17," ")</f>
        <v>27.540983606557376</v>
      </c>
      <c r="F129" s="68" t="str">
        <f>IF(Tilmeldingsoversigt!$E$9="x",Aftensmad," ")</f>
        <v>Aftensmad</v>
      </c>
      <c r="G129" s="69">
        <f ca="1">IF(F129=Aftensmad,Tilmeldingsoversigt!$C$17," ")</f>
        <v>27.540983606557376</v>
      </c>
      <c r="H129" s="68" t="str">
        <f>IF(Tilmeldingsoversigt!$F$9="x",Aftensmad," ")</f>
        <v>Aftensmad</v>
      </c>
      <c r="I129" s="69">
        <f ca="1">IF(H129=Aftensmad,Tilmeldingsoversigt!$C$17," ")</f>
        <v>27.540983606557376</v>
      </c>
      <c r="J129" s="68" t="str">
        <f>IF(Tilmeldingsoversigt!$G$9="x",Aftensmad," ")</f>
        <v>Aftensmad</v>
      </c>
      <c r="K129" s="69">
        <f ca="1">IF(J129=Aftensmad,Tilmeldingsoversigt!$C$17," ")</f>
        <v>27.540983606557376</v>
      </c>
      <c r="L129" s="68" t="str">
        <f>IF(Tilmeldingsoversigt!$H$9="x",Aftensmad," ")</f>
        <v>Aftensmad</v>
      </c>
      <c r="M129" s="69">
        <f ca="1">IF(L129=Aftensmad,Tilmeldingsoversigt!$C$17," ")</f>
        <v>27.540983606557376</v>
      </c>
      <c r="N129" s="68" t="str">
        <f>IF(Tilmeldingsoversigt!$I$9="x",Aftensmad," ")</f>
        <v>Aftensmad</v>
      </c>
      <c r="O129" s="70">
        <f ca="1">IF(N129=Aftensmad,Tilmeldingsoversigt!$C$17," ")</f>
        <v>27.540983606557376</v>
      </c>
      <c r="P129" s="66"/>
    </row>
    <row r="130" spans="2:16" x14ac:dyDescent="0.25">
      <c r="B130" s="68"/>
      <c r="C130" s="69"/>
      <c r="D130" s="68" t="str">
        <f>IF(Tilmeldingsoversigt!$D$10="x",biret," ")</f>
        <v>Biret</v>
      </c>
      <c r="E130" s="69">
        <f>IF(D130=biret,biretpris," ")</f>
        <v>0</v>
      </c>
      <c r="F130" s="68" t="str">
        <f>IF(Tilmeldingsoversigt!$E$10="x",biret," ")</f>
        <v>Biret</v>
      </c>
      <c r="G130" s="69">
        <f>IF(F130=biret,biretpris," ")</f>
        <v>0</v>
      </c>
      <c r="H130" s="68" t="str">
        <f>IF(Tilmeldingsoversigt!$F$10="x",biret," ")</f>
        <v>Biret</v>
      </c>
      <c r="I130" s="69">
        <f>IF(H130=biret,biretpris," ")</f>
        <v>0</v>
      </c>
      <c r="J130" s="68" t="str">
        <f>IF(Tilmeldingsoversigt!$G$10="x",biret," ")</f>
        <v>Biret</v>
      </c>
      <c r="K130" s="69">
        <f>IF(J130=biret,biretpris," ")</f>
        <v>0</v>
      </c>
      <c r="L130" s="68" t="str">
        <f>IF(Tilmeldingsoversigt!$H$10="x",biret," ")</f>
        <v>Biret</v>
      </c>
      <c r="M130" s="69">
        <f>IF(L130=biret,biretpris," ")</f>
        <v>0</v>
      </c>
      <c r="N130" s="68" t="str">
        <f>IF(Tilmeldingsoversigt!$I$10="x",biret," ")</f>
        <v>Biret</v>
      </c>
      <c r="O130" s="69">
        <f>IF(N130=biret,biretpris," ")</f>
        <v>0</v>
      </c>
      <c r="P130" s="66"/>
    </row>
    <row r="131" spans="2:16" x14ac:dyDescent="0.25">
      <c r="B131" s="71"/>
      <c r="C131" s="72"/>
      <c r="D131" s="71" t="str">
        <f>IF(Tilmeldingsoversigt!$C$11="x",mellemmåltid," ")</f>
        <v xml:space="preserve"> </v>
      </c>
      <c r="E131" s="72" t="str">
        <f>IF(D131=mellemmåltid,mellemmåltidspris," ")</f>
        <v xml:space="preserve"> </v>
      </c>
      <c r="F131" s="71" t="str">
        <f>IF(Tilmeldingsoversigt!$C$11="x",mellemmåltid," ")</f>
        <v xml:space="preserve"> </v>
      </c>
      <c r="G131" s="72" t="str">
        <f>IF(F131=mellemmåltid,mellemmåltidspris," ")</f>
        <v xml:space="preserve"> </v>
      </c>
      <c r="H131" s="71" t="str">
        <f>IF(Tilmeldingsoversigt!$C$11="x",mellemmåltid," ")</f>
        <v xml:space="preserve"> </v>
      </c>
      <c r="I131" s="72" t="str">
        <f>IF(H131=mellemmåltid,mellemmåltidspris," ")</f>
        <v xml:space="preserve"> </v>
      </c>
      <c r="J131" s="71" t="str">
        <f>IF(Tilmeldingsoversigt!$C$11="x",mellemmåltid," ")</f>
        <v xml:space="preserve"> </v>
      </c>
      <c r="K131" s="72" t="str">
        <f>IF(J131=mellemmåltid,mellemmåltidspris," ")</f>
        <v xml:space="preserve"> </v>
      </c>
      <c r="L131" s="71" t="str">
        <f>IF(Tilmeldingsoversigt!$C$11="x",mellemmåltid," ")</f>
        <v xml:space="preserve"> </v>
      </c>
      <c r="M131" s="72" t="str">
        <f>IF(L131=mellemmåltid,mellemmåltidspris," ")</f>
        <v xml:space="preserve"> </v>
      </c>
      <c r="N131" s="71" t="str">
        <f>IF(Tilmeldingsoversigt!$C$11="x",mellemmåltid," ")</f>
        <v xml:space="preserve"> </v>
      </c>
      <c r="O131" s="72" t="str">
        <f>IF(N131=mellemmåltid,mellemmåltidspris," ")</f>
        <v xml:space="preserve"> </v>
      </c>
      <c r="P131" s="66"/>
    </row>
    <row r="132" spans="2:16" x14ac:dyDescent="0.25">
      <c r="B132" s="74" t="s">
        <v>44</v>
      </c>
      <c r="C132" s="11">
        <f>SUM(C127:C131)</f>
        <v>0</v>
      </c>
      <c r="D132" s="74"/>
      <c r="E132" s="11">
        <f ca="1">SUM(E127:E131)</f>
        <v>99.311475409836063</v>
      </c>
      <c r="F132" s="74"/>
      <c r="G132" s="11">
        <f ca="1">SUM(G127:G131)</f>
        <v>99.311475409836063</v>
      </c>
      <c r="H132" s="74"/>
      <c r="I132" s="11">
        <f ca="1">SUM(I127:I131)</f>
        <v>99.311475409836063</v>
      </c>
      <c r="J132" s="74"/>
      <c r="K132" s="11">
        <f ca="1">SUM(K127:K131)</f>
        <v>99.311475409836063</v>
      </c>
      <c r="L132" s="74"/>
      <c r="M132" s="11">
        <f ca="1">SUM(M127:M131)</f>
        <v>99.311475409836063</v>
      </c>
      <c r="N132" s="74"/>
      <c r="O132" s="12">
        <f ca="1">SUM(O127:O131)</f>
        <v>99.311475409836063</v>
      </c>
      <c r="P132" s="75">
        <f ca="1">SUMIF(B125:N125,"&lt;8",C132:O132)</f>
        <v>297.93442622950818</v>
      </c>
    </row>
    <row r="133" spans="2:16" x14ac:dyDescent="0.2">
      <c r="B133" s="76"/>
      <c r="C133" s="77"/>
      <c r="D133" s="77"/>
      <c r="E133" s="77"/>
      <c r="F133" s="77"/>
      <c r="G133" s="77"/>
      <c r="H133" s="77"/>
      <c r="I133" s="77"/>
      <c r="J133" s="77"/>
      <c r="K133" s="77"/>
      <c r="L133" s="77"/>
      <c r="M133" s="77"/>
      <c r="N133" s="77"/>
      <c r="O133" s="77"/>
      <c r="P133" s="76"/>
    </row>
    <row r="134" spans="2:16" ht="12.75" x14ac:dyDescent="0.25">
      <c r="B134" s="78">
        <f>N125+1</f>
        <v>4</v>
      </c>
      <c r="C134" s="79"/>
      <c r="D134" s="78">
        <f>B134+1</f>
        <v>5</v>
      </c>
      <c r="E134" s="79"/>
      <c r="F134" s="78">
        <f>D134+1</f>
        <v>6</v>
      </c>
      <c r="G134" s="79"/>
      <c r="H134" s="78">
        <f>F134+1</f>
        <v>7</v>
      </c>
      <c r="I134" s="79"/>
      <c r="J134" s="78">
        <f>H134+1</f>
        <v>8</v>
      </c>
      <c r="K134" s="79"/>
      <c r="L134" s="78">
        <f>J134+1</f>
        <v>9</v>
      </c>
      <c r="M134" s="79"/>
      <c r="N134" s="78">
        <f>L134+1</f>
        <v>10</v>
      </c>
      <c r="O134" s="79"/>
      <c r="P134" s="80"/>
    </row>
    <row r="135" spans="2:16" x14ac:dyDescent="0.25">
      <c r="B135" s="64" t="s">
        <v>42</v>
      </c>
      <c r="C135" s="81" t="s">
        <v>43</v>
      </c>
      <c r="D135" s="64" t="s">
        <v>42</v>
      </c>
      <c r="E135" s="81" t="s">
        <v>43</v>
      </c>
      <c r="F135" s="64" t="s">
        <v>42</v>
      </c>
      <c r="G135" s="81" t="s">
        <v>43</v>
      </c>
      <c r="H135" s="64" t="s">
        <v>42</v>
      </c>
      <c r="I135" s="81" t="s">
        <v>43</v>
      </c>
      <c r="J135" s="64" t="s">
        <v>42</v>
      </c>
      <c r="K135" s="81" t="s">
        <v>43</v>
      </c>
      <c r="L135" s="64" t="s">
        <v>42</v>
      </c>
      <c r="M135" s="81" t="s">
        <v>43</v>
      </c>
      <c r="N135" s="64" t="s">
        <v>42</v>
      </c>
      <c r="O135" s="82" t="s">
        <v>43</v>
      </c>
      <c r="P135" s="66"/>
    </row>
    <row r="136" spans="2:16" x14ac:dyDescent="0.25">
      <c r="B136" s="136" t="str">
        <f>IF(Tilmeldingsoversigt!$C$7="x",Morgenmad," ")</f>
        <v>Morgenmad</v>
      </c>
      <c r="C136" s="67">
        <f ca="1">IF(B136=Morgenmad,Tilmeldingsoversigt!$C$15," ")</f>
        <v>16.754098360655739</v>
      </c>
      <c r="D136" s="136" t="str">
        <f>IF(Tilmeldingsoversigt!$D$7="x",Morgenmad," ")</f>
        <v>Morgenmad</v>
      </c>
      <c r="E136" s="67">
        <f ca="1">IF(D136=Morgenmad,Tilmeldingsoversigt!$C$15," ")</f>
        <v>16.754098360655739</v>
      </c>
      <c r="F136" s="136" t="str">
        <f>IF(Tilmeldingsoversigt!$E$7="x",Morgenmad," ")</f>
        <v>Morgenmad</v>
      </c>
      <c r="G136" s="67">
        <f ca="1">IF(F136=Morgenmad,Tilmeldingsoversigt!$C$15," ")</f>
        <v>16.754098360655739</v>
      </c>
      <c r="H136" s="136" t="str">
        <f>IF(Tilmeldingsoversigt!$F$7="x",Morgenmad," ")</f>
        <v>Morgenmad</v>
      </c>
      <c r="I136" s="67">
        <f ca="1">IF(H136=Morgenmad,Tilmeldingsoversigt!$C$15," ")</f>
        <v>16.754098360655739</v>
      </c>
      <c r="J136" s="136" t="str">
        <f>IF(Tilmeldingsoversigt!$G$7="x",Morgenmad," ")</f>
        <v>Morgenmad</v>
      </c>
      <c r="K136" s="67">
        <f ca="1">IF(J136=Morgenmad,Tilmeldingsoversigt!$C$15," ")</f>
        <v>16.754098360655739</v>
      </c>
      <c r="L136" s="136" t="str">
        <f>IF(Tilmeldingsoversigt!$H$7="x",Morgenmad," ")</f>
        <v>Morgenmad</v>
      </c>
      <c r="M136" s="67">
        <f ca="1">IF(L136=Morgenmad,Tilmeldingsoversigt!$C$15," ")</f>
        <v>16.754098360655739</v>
      </c>
      <c r="N136" s="136" t="str">
        <f>IF(Tilmeldingsoversigt!$I$7="x",Morgenmad," ")</f>
        <v>Morgenmad</v>
      </c>
      <c r="O136" s="83">
        <f ca="1">IF(N136=Morgenmad,Tilmeldingsoversigt!$C$15," ")</f>
        <v>16.754098360655739</v>
      </c>
      <c r="P136" s="66"/>
    </row>
    <row r="137" spans="2:16" x14ac:dyDescent="0.25">
      <c r="B137" s="68" t="str">
        <f>IF(Tilmeldingsoversigt!$C$8="x",hovedret," ")</f>
        <v>Hovedret</v>
      </c>
      <c r="C137" s="69">
        <f ca="1">IF(B137=hovedret,Tilmeldingsoversigt!$C$16," ")</f>
        <v>55.016393442622949</v>
      </c>
      <c r="D137" s="68" t="str">
        <f>IF(Tilmeldingsoversigt!$D$8="x",hovedret," ")</f>
        <v>Hovedret</v>
      </c>
      <c r="E137" s="69">
        <f ca="1">IF(D137=hovedret,Tilmeldingsoversigt!$C$16," ")</f>
        <v>55.016393442622949</v>
      </c>
      <c r="F137" s="68" t="str">
        <f>IF(Tilmeldingsoversigt!$E$8="x",hovedret," ")</f>
        <v>Hovedret</v>
      </c>
      <c r="G137" s="69">
        <f ca="1">IF(F137=hovedret,Tilmeldingsoversigt!$C$16," ")</f>
        <v>55.016393442622949</v>
      </c>
      <c r="H137" s="68" t="str">
        <f>IF(Tilmeldingsoversigt!$F$8="x",hovedret," ")</f>
        <v>Hovedret</v>
      </c>
      <c r="I137" s="69">
        <f ca="1">IF(H137=hovedret,Tilmeldingsoversigt!$C$16," ")</f>
        <v>55.016393442622949</v>
      </c>
      <c r="J137" s="68" t="str">
        <f>IF(Tilmeldingsoversigt!$G$8="x",hovedret," ")</f>
        <v>Hovedret</v>
      </c>
      <c r="K137" s="69">
        <f ca="1">IF(J137=hovedret,Tilmeldingsoversigt!$C$16," ")</f>
        <v>55.016393442622949</v>
      </c>
      <c r="L137" s="68" t="str">
        <f>IF(Tilmeldingsoversigt!$H$8="x",hovedret," ")</f>
        <v>Hovedret</v>
      </c>
      <c r="M137" s="69">
        <f ca="1">IF(L137=hovedret,Tilmeldingsoversigt!$C$16," ")</f>
        <v>55.016393442622949</v>
      </c>
      <c r="N137" s="68" t="str">
        <f>IF(Tilmeldingsoversigt!$I$8="x",hovedret," ")</f>
        <v>Hovedret</v>
      </c>
      <c r="O137" s="70">
        <f ca="1">IF(N137=hovedret,Tilmeldingsoversigt!$C$16," ")</f>
        <v>55.016393442622949</v>
      </c>
      <c r="P137" s="66"/>
    </row>
    <row r="138" spans="2:16" x14ac:dyDescent="0.25">
      <c r="B138" s="68" t="str">
        <f>IF(Tilmeldingsoversigt!$C$9="x",Aftensmad," ")</f>
        <v>Aftensmad</v>
      </c>
      <c r="C138" s="69">
        <f ca="1">IF(B138=Aftensmad,Tilmeldingsoversigt!$C$17," ")</f>
        <v>27.540983606557376</v>
      </c>
      <c r="D138" s="68" t="str">
        <f>IF(Tilmeldingsoversigt!$D$9="x",Aftensmad," ")</f>
        <v>Aftensmad</v>
      </c>
      <c r="E138" s="69">
        <f ca="1">IF(D138=Aftensmad,Tilmeldingsoversigt!$C$17," ")</f>
        <v>27.540983606557376</v>
      </c>
      <c r="F138" s="68" t="str">
        <f>IF(Tilmeldingsoversigt!$E$9="x",Aftensmad," ")</f>
        <v>Aftensmad</v>
      </c>
      <c r="G138" s="69">
        <f ca="1">IF(F138=Aftensmad,Tilmeldingsoversigt!$C$17," ")</f>
        <v>27.540983606557376</v>
      </c>
      <c r="H138" s="68" t="str">
        <f>IF(Tilmeldingsoversigt!$F$9="x",Aftensmad," ")</f>
        <v>Aftensmad</v>
      </c>
      <c r="I138" s="69">
        <f ca="1">IF(H138=Aftensmad,Tilmeldingsoversigt!$C$17," ")</f>
        <v>27.540983606557376</v>
      </c>
      <c r="J138" s="68" t="str">
        <f>IF(Tilmeldingsoversigt!$G$9="x",Aftensmad," ")</f>
        <v>Aftensmad</v>
      </c>
      <c r="K138" s="69">
        <f ca="1">IF(J138=Aftensmad,Tilmeldingsoversigt!$C$17," ")</f>
        <v>27.540983606557376</v>
      </c>
      <c r="L138" s="68" t="str">
        <f>IF(Tilmeldingsoversigt!$H$9="x",Aftensmad," ")</f>
        <v>Aftensmad</v>
      </c>
      <c r="M138" s="69">
        <f ca="1">IF(L138=Aftensmad,Tilmeldingsoversigt!$C$17," ")</f>
        <v>27.540983606557376</v>
      </c>
      <c r="N138" s="68" t="str">
        <f>IF(Tilmeldingsoversigt!$I$9="x",Aftensmad," ")</f>
        <v>Aftensmad</v>
      </c>
      <c r="O138" s="70">
        <f ca="1">IF(N138=Aftensmad,Tilmeldingsoversigt!$C$17," ")</f>
        <v>27.540983606557376</v>
      </c>
      <c r="P138" s="66"/>
    </row>
    <row r="139" spans="2:16" x14ac:dyDescent="0.25">
      <c r="B139" s="68" t="str">
        <f>IF(Tilmeldingsoversigt!$C$10="x",biret," ")</f>
        <v>Biret</v>
      </c>
      <c r="C139" s="69">
        <f>IF(B139=biret,biretpris," ")</f>
        <v>0</v>
      </c>
      <c r="D139" s="68" t="str">
        <f>IF(Tilmeldingsoversigt!$D$10="x",biret," ")</f>
        <v>Biret</v>
      </c>
      <c r="E139" s="69">
        <f>IF(D139=biret,biretpris," ")</f>
        <v>0</v>
      </c>
      <c r="F139" s="68" t="str">
        <f>IF(Tilmeldingsoversigt!$E$10="x",biret," ")</f>
        <v>Biret</v>
      </c>
      <c r="G139" s="69">
        <f>IF(F139=biret,biretpris," ")</f>
        <v>0</v>
      </c>
      <c r="H139" s="68" t="str">
        <f>IF(Tilmeldingsoversigt!$F$10="x",biret," ")</f>
        <v>Biret</v>
      </c>
      <c r="I139" s="69">
        <f>IF(H139=biret,biretpris," ")</f>
        <v>0</v>
      </c>
      <c r="J139" s="68" t="str">
        <f>IF(Tilmeldingsoversigt!$G$10="x",biret," ")</f>
        <v>Biret</v>
      </c>
      <c r="K139" s="69">
        <f>IF(J139=biret,biretpris," ")</f>
        <v>0</v>
      </c>
      <c r="L139" s="68" t="str">
        <f>IF(Tilmeldingsoversigt!$H$10="x",biret," ")</f>
        <v>Biret</v>
      </c>
      <c r="M139" s="69">
        <f>IF(L139=biret,biretpris," ")</f>
        <v>0</v>
      </c>
      <c r="N139" s="68" t="str">
        <f>IF(Tilmeldingsoversigt!$I$10="x",biret," ")</f>
        <v>Biret</v>
      </c>
      <c r="O139" s="70">
        <f>IF(N139=biret,biretpris," ")</f>
        <v>0</v>
      </c>
      <c r="P139" s="66"/>
    </row>
    <row r="140" spans="2:16" x14ac:dyDescent="0.25">
      <c r="B140" s="71" t="str">
        <f>IF(Tilmeldingsoversigt!$C$11="x",mellemmåltid," ")</f>
        <v xml:space="preserve"> </v>
      </c>
      <c r="C140" s="72" t="str">
        <f>IF(B140=mellemmåltid,mellemmåltidspris," ")</f>
        <v xml:space="preserve"> </v>
      </c>
      <c r="D140" s="71" t="str">
        <f>IF(Tilmeldingsoversigt!$C$11="x",mellemmåltid," ")</f>
        <v xml:space="preserve"> </v>
      </c>
      <c r="E140" s="72" t="str">
        <f>IF(D140=mellemmåltid,mellemmåltidspris," ")</f>
        <v xml:space="preserve"> </v>
      </c>
      <c r="F140" s="71" t="str">
        <f>IF(Tilmeldingsoversigt!$C$11="x",mellemmåltid," ")</f>
        <v xml:space="preserve"> </v>
      </c>
      <c r="G140" s="72" t="str">
        <f>IF(F140=mellemmåltid,mellemmåltidspris," ")</f>
        <v xml:space="preserve"> </v>
      </c>
      <c r="H140" s="71" t="str">
        <f>IF(Tilmeldingsoversigt!$C$11="x",mellemmåltid," ")</f>
        <v xml:space="preserve"> </v>
      </c>
      <c r="I140" s="72" t="str">
        <f>IF(H140=mellemmåltid,mellemmåltidspris," ")</f>
        <v xml:space="preserve"> </v>
      </c>
      <c r="J140" s="71" t="str">
        <f>IF(Tilmeldingsoversigt!$C$11="x",mellemmåltid," ")</f>
        <v xml:space="preserve"> </v>
      </c>
      <c r="K140" s="72" t="str">
        <f>IF(J140=mellemmåltid,mellemmåltidspris," ")</f>
        <v xml:space="preserve"> </v>
      </c>
      <c r="L140" s="71" t="str">
        <f>IF(Tilmeldingsoversigt!$C$11="x",mellemmåltid," ")</f>
        <v xml:space="preserve"> </v>
      </c>
      <c r="M140" s="72" t="str">
        <f>IF(L140=mellemmåltid,mellemmåltidspris," ")</f>
        <v xml:space="preserve"> </v>
      </c>
      <c r="N140" s="71" t="str">
        <f>IF(Tilmeldingsoversigt!$C$11="x",mellemmåltid," ")</f>
        <v xml:space="preserve"> </v>
      </c>
      <c r="O140" s="73" t="str">
        <f>IF(N140=mellemmåltid,mellemmåltidspris," ")</f>
        <v xml:space="preserve"> </v>
      </c>
      <c r="P140" s="66"/>
    </row>
    <row r="141" spans="2:16" x14ac:dyDescent="0.25">
      <c r="B141" s="74" t="s">
        <v>44</v>
      </c>
      <c r="C141" s="11">
        <f ca="1">SUM(C136:C140)</f>
        <v>99.311475409836063</v>
      </c>
      <c r="D141" s="74"/>
      <c r="E141" s="11">
        <f ca="1">SUM(E136:E140)</f>
        <v>99.311475409836063</v>
      </c>
      <c r="F141" s="74"/>
      <c r="G141" s="11">
        <f ca="1">SUM(G136:G140)</f>
        <v>99.311475409836063</v>
      </c>
      <c r="H141" s="74"/>
      <c r="I141" s="11">
        <f ca="1">SUM(I136:I140)</f>
        <v>99.311475409836063</v>
      </c>
      <c r="J141" s="74"/>
      <c r="K141" s="11">
        <f ca="1">SUM(K136:K140)</f>
        <v>99.311475409836063</v>
      </c>
      <c r="L141" s="74"/>
      <c r="M141" s="11">
        <f ca="1">SUM(M136:M140)</f>
        <v>99.311475409836063</v>
      </c>
      <c r="N141" s="74"/>
      <c r="O141" s="12">
        <f ca="1">SUM(O136:O140)</f>
        <v>99.311475409836063</v>
      </c>
      <c r="P141" s="75">
        <f ca="1">SUM(C141,E141,G141,I141,K141,M141,O141)</f>
        <v>695.18032786885237</v>
      </c>
    </row>
    <row r="142" spans="2:16" x14ac:dyDescent="0.2">
      <c r="B142" s="76"/>
      <c r="C142" s="77"/>
      <c r="D142" s="77"/>
      <c r="E142" s="77"/>
      <c r="F142" s="77"/>
      <c r="G142" s="77"/>
      <c r="H142" s="77"/>
      <c r="I142" s="77"/>
      <c r="J142" s="77"/>
      <c r="K142" s="77"/>
      <c r="L142" s="77"/>
      <c r="M142" s="77"/>
      <c r="N142" s="77"/>
      <c r="O142" s="77"/>
      <c r="P142" s="76"/>
    </row>
    <row r="143" spans="2:16" ht="12.75" x14ac:dyDescent="0.25">
      <c r="B143" s="78">
        <f>N134+1</f>
        <v>11</v>
      </c>
      <c r="C143" s="79"/>
      <c r="D143" s="78">
        <f>B143+1</f>
        <v>12</v>
      </c>
      <c r="E143" s="79"/>
      <c r="F143" s="78">
        <f>D143+1</f>
        <v>13</v>
      </c>
      <c r="G143" s="79"/>
      <c r="H143" s="78">
        <f>F143+1</f>
        <v>14</v>
      </c>
      <c r="I143" s="79"/>
      <c r="J143" s="78">
        <f>H143+1</f>
        <v>15</v>
      </c>
      <c r="K143" s="79"/>
      <c r="L143" s="78">
        <f>J143+1</f>
        <v>16</v>
      </c>
      <c r="M143" s="79"/>
      <c r="N143" s="78">
        <f>L143+1</f>
        <v>17</v>
      </c>
      <c r="O143" s="79"/>
      <c r="P143" s="80"/>
    </row>
    <row r="144" spans="2:16" x14ac:dyDescent="0.25">
      <c r="B144" s="64" t="s">
        <v>42</v>
      </c>
      <c r="C144" s="81" t="s">
        <v>43</v>
      </c>
      <c r="D144" s="64" t="s">
        <v>42</v>
      </c>
      <c r="E144" s="81" t="s">
        <v>43</v>
      </c>
      <c r="F144" s="64" t="s">
        <v>42</v>
      </c>
      <c r="G144" s="81" t="s">
        <v>43</v>
      </c>
      <c r="H144" s="64" t="s">
        <v>42</v>
      </c>
      <c r="I144" s="81" t="s">
        <v>43</v>
      </c>
      <c r="J144" s="64" t="s">
        <v>42</v>
      </c>
      <c r="K144" s="81" t="s">
        <v>43</v>
      </c>
      <c r="L144" s="64" t="s">
        <v>42</v>
      </c>
      <c r="M144" s="81" t="s">
        <v>43</v>
      </c>
      <c r="N144" s="64" t="s">
        <v>42</v>
      </c>
      <c r="O144" s="82" t="s">
        <v>43</v>
      </c>
      <c r="P144" s="66"/>
    </row>
    <row r="145" spans="2:16" x14ac:dyDescent="0.25">
      <c r="B145" s="136" t="str">
        <f>IF(Tilmeldingsoversigt!$C$7="x",Morgenmad," ")</f>
        <v>Morgenmad</v>
      </c>
      <c r="C145" s="67">
        <f ca="1">IF(B145=Morgenmad,Tilmeldingsoversigt!$C$15," ")</f>
        <v>16.754098360655739</v>
      </c>
      <c r="D145" s="136" t="str">
        <f>IF(Tilmeldingsoversigt!$D$7="x",Morgenmad," ")</f>
        <v>Morgenmad</v>
      </c>
      <c r="E145" s="67">
        <f ca="1">IF(D145=Morgenmad,Tilmeldingsoversigt!$C$15," ")</f>
        <v>16.754098360655739</v>
      </c>
      <c r="F145" s="136" t="str">
        <f>IF(Tilmeldingsoversigt!$E$7="x",Morgenmad," ")</f>
        <v>Morgenmad</v>
      </c>
      <c r="G145" s="67">
        <f ca="1">IF(F145=Morgenmad,Tilmeldingsoversigt!$C$15," ")</f>
        <v>16.754098360655739</v>
      </c>
      <c r="H145" s="136" t="str">
        <f>IF(Tilmeldingsoversigt!$F$7="x",Morgenmad," ")</f>
        <v>Morgenmad</v>
      </c>
      <c r="I145" s="67">
        <f ca="1">IF(H145=Morgenmad,Tilmeldingsoversigt!$C$15," ")</f>
        <v>16.754098360655739</v>
      </c>
      <c r="J145" s="136" t="str">
        <f>IF(Tilmeldingsoversigt!$G$7="x",Morgenmad," ")</f>
        <v>Morgenmad</v>
      </c>
      <c r="K145" s="67">
        <f ca="1">IF(J145=Morgenmad,Tilmeldingsoversigt!$C$15," ")</f>
        <v>16.754098360655739</v>
      </c>
      <c r="L145" s="136" t="str">
        <f>IF(Tilmeldingsoversigt!$H$7="x",Morgenmad," ")</f>
        <v>Morgenmad</v>
      </c>
      <c r="M145" s="67">
        <f ca="1">IF(L145=Morgenmad,Tilmeldingsoversigt!$C$15," ")</f>
        <v>16.754098360655739</v>
      </c>
      <c r="N145" s="136" t="str">
        <f>IF(Tilmeldingsoversigt!$I$7="x",Morgenmad," ")</f>
        <v>Morgenmad</v>
      </c>
      <c r="O145" s="83">
        <f ca="1">IF(N145=Morgenmad,Tilmeldingsoversigt!$C$15," ")</f>
        <v>16.754098360655739</v>
      </c>
      <c r="P145" s="66"/>
    </row>
    <row r="146" spans="2:16" x14ac:dyDescent="0.25">
      <c r="B146" s="68" t="str">
        <f>IF(Tilmeldingsoversigt!$C$8="x",hovedret," ")</f>
        <v>Hovedret</v>
      </c>
      <c r="C146" s="69">
        <f ca="1">IF(B146=hovedret,Tilmeldingsoversigt!$C$16," ")</f>
        <v>55.016393442622949</v>
      </c>
      <c r="D146" s="68" t="str">
        <f>IF(Tilmeldingsoversigt!$D$8="x",hovedret," ")</f>
        <v>Hovedret</v>
      </c>
      <c r="E146" s="69">
        <f ca="1">IF(D146=hovedret,Tilmeldingsoversigt!$C$16," ")</f>
        <v>55.016393442622949</v>
      </c>
      <c r="F146" s="68" t="str">
        <f>IF(Tilmeldingsoversigt!$E$8="x",hovedret," ")</f>
        <v>Hovedret</v>
      </c>
      <c r="G146" s="69">
        <f ca="1">IF(F146=hovedret,Tilmeldingsoversigt!$C$16," ")</f>
        <v>55.016393442622949</v>
      </c>
      <c r="H146" s="68" t="str">
        <f>IF(Tilmeldingsoversigt!$F$8="x",hovedret," ")</f>
        <v>Hovedret</v>
      </c>
      <c r="I146" s="69">
        <f ca="1">IF(H146=hovedret,Tilmeldingsoversigt!$C$16," ")</f>
        <v>55.016393442622949</v>
      </c>
      <c r="J146" s="68" t="str">
        <f>IF(Tilmeldingsoversigt!$G$8="x",hovedret," ")</f>
        <v>Hovedret</v>
      </c>
      <c r="K146" s="69">
        <f ca="1">IF(J146=hovedret,Tilmeldingsoversigt!$C$16," ")</f>
        <v>55.016393442622949</v>
      </c>
      <c r="L146" s="68" t="str">
        <f>IF(Tilmeldingsoversigt!$H$8="x",hovedret," ")</f>
        <v>Hovedret</v>
      </c>
      <c r="M146" s="69">
        <f ca="1">IF(L146=hovedret,Tilmeldingsoversigt!$C$16," ")</f>
        <v>55.016393442622949</v>
      </c>
      <c r="N146" s="68" t="str">
        <f>IF(Tilmeldingsoversigt!$I$8="x",hovedret," ")</f>
        <v>Hovedret</v>
      </c>
      <c r="O146" s="70">
        <f ca="1">IF(N146=hovedret,Tilmeldingsoversigt!$C$16," ")</f>
        <v>55.016393442622949</v>
      </c>
      <c r="P146" s="66"/>
    </row>
    <row r="147" spans="2:16" x14ac:dyDescent="0.25">
      <c r="B147" s="68" t="str">
        <f>IF(Tilmeldingsoversigt!$C$9="x",Aftensmad," ")</f>
        <v>Aftensmad</v>
      </c>
      <c r="C147" s="69">
        <f ca="1">IF(B147=Aftensmad,Tilmeldingsoversigt!$C$17," ")</f>
        <v>27.540983606557376</v>
      </c>
      <c r="D147" s="68" t="str">
        <f>IF(Tilmeldingsoversigt!$D$9="x",Aftensmad," ")</f>
        <v>Aftensmad</v>
      </c>
      <c r="E147" s="69">
        <f ca="1">IF(D147=Aftensmad,Tilmeldingsoversigt!$C$17," ")</f>
        <v>27.540983606557376</v>
      </c>
      <c r="F147" s="68" t="str">
        <f>IF(Tilmeldingsoversigt!$E$9="x",Aftensmad," ")</f>
        <v>Aftensmad</v>
      </c>
      <c r="G147" s="69">
        <f ca="1">IF(F147=Aftensmad,Tilmeldingsoversigt!$C$17," ")</f>
        <v>27.540983606557376</v>
      </c>
      <c r="H147" s="68" t="str">
        <f>IF(Tilmeldingsoversigt!$F$9="x",Aftensmad," ")</f>
        <v>Aftensmad</v>
      </c>
      <c r="I147" s="69">
        <f ca="1">IF(H147=Aftensmad,Tilmeldingsoversigt!$C$17," ")</f>
        <v>27.540983606557376</v>
      </c>
      <c r="J147" s="68" t="str">
        <f>IF(Tilmeldingsoversigt!$G$9="x",Aftensmad," ")</f>
        <v>Aftensmad</v>
      </c>
      <c r="K147" s="69">
        <f ca="1">IF(J147=Aftensmad,Tilmeldingsoversigt!$C$17," ")</f>
        <v>27.540983606557376</v>
      </c>
      <c r="L147" s="68" t="str">
        <f>IF(Tilmeldingsoversigt!$H$9="x",Aftensmad," ")</f>
        <v>Aftensmad</v>
      </c>
      <c r="M147" s="69">
        <f ca="1">IF(L147=Aftensmad,Tilmeldingsoversigt!$C$17," ")</f>
        <v>27.540983606557376</v>
      </c>
      <c r="N147" s="68" t="str">
        <f>IF(Tilmeldingsoversigt!$I$9="x",Aftensmad," ")</f>
        <v>Aftensmad</v>
      </c>
      <c r="O147" s="70">
        <f ca="1">IF(N147=Aftensmad,Tilmeldingsoversigt!$C$17," ")</f>
        <v>27.540983606557376</v>
      </c>
      <c r="P147" s="66"/>
    </row>
    <row r="148" spans="2:16" x14ac:dyDescent="0.25">
      <c r="B148" s="68" t="str">
        <f>IF(Tilmeldingsoversigt!$C$10="x",biret," ")</f>
        <v>Biret</v>
      </c>
      <c r="C148" s="69">
        <f>IF(B148=biret,biretpris," ")</f>
        <v>0</v>
      </c>
      <c r="D148" s="68" t="str">
        <f>IF(Tilmeldingsoversigt!$D$10="x",biret," ")</f>
        <v>Biret</v>
      </c>
      <c r="E148" s="69">
        <f>IF(D148=biret,biretpris," ")</f>
        <v>0</v>
      </c>
      <c r="F148" s="68" t="str">
        <f>IF(Tilmeldingsoversigt!$E$10="x",biret," ")</f>
        <v>Biret</v>
      </c>
      <c r="G148" s="69">
        <f>IF(F148=biret,biretpris," ")</f>
        <v>0</v>
      </c>
      <c r="H148" s="68" t="str">
        <f>IF(Tilmeldingsoversigt!$F$10="x",biret," ")</f>
        <v>Biret</v>
      </c>
      <c r="I148" s="69">
        <f>IF(H148=biret,biretpris," ")</f>
        <v>0</v>
      </c>
      <c r="J148" s="68" t="str">
        <f>IF(Tilmeldingsoversigt!$G$10="x",biret," ")</f>
        <v>Biret</v>
      </c>
      <c r="K148" s="69">
        <f>IF(J148=biret,biretpris," ")</f>
        <v>0</v>
      </c>
      <c r="L148" s="68" t="str">
        <f>IF(Tilmeldingsoversigt!$H$10="x",biret," ")</f>
        <v>Biret</v>
      </c>
      <c r="M148" s="69">
        <f>IF(L148=biret,biretpris," ")</f>
        <v>0</v>
      </c>
      <c r="N148" s="68" t="str">
        <f>IF(Tilmeldingsoversigt!$I$10="x",biret," ")</f>
        <v>Biret</v>
      </c>
      <c r="O148" s="70">
        <f>IF(N148=biret,biretpris," ")</f>
        <v>0</v>
      </c>
      <c r="P148" s="66"/>
    </row>
    <row r="149" spans="2:16" x14ac:dyDescent="0.25">
      <c r="B149" s="71" t="str">
        <f>IF(Tilmeldingsoversigt!$C$11="x",mellemmåltid," ")</f>
        <v xml:space="preserve"> </v>
      </c>
      <c r="C149" s="72" t="str">
        <f>IF(B149=mellemmåltid,mellemmåltidspris," ")</f>
        <v xml:space="preserve"> </v>
      </c>
      <c r="D149" s="71" t="str">
        <f>IF(Tilmeldingsoversigt!$C$11="x",mellemmåltid," ")</f>
        <v xml:space="preserve"> </v>
      </c>
      <c r="E149" s="72" t="str">
        <f>IF(D149=mellemmåltid,mellemmåltidspris," ")</f>
        <v xml:space="preserve"> </v>
      </c>
      <c r="F149" s="71" t="str">
        <f>IF(Tilmeldingsoversigt!$C$11="x",mellemmåltid," ")</f>
        <v xml:space="preserve"> </v>
      </c>
      <c r="G149" s="72" t="str">
        <f>IF(F149=mellemmåltid,mellemmåltidspris," ")</f>
        <v xml:space="preserve"> </v>
      </c>
      <c r="H149" s="71" t="str">
        <f>IF(Tilmeldingsoversigt!$C$11="x",mellemmåltid," ")</f>
        <v xml:space="preserve"> </v>
      </c>
      <c r="I149" s="72" t="str">
        <f>IF(H149=mellemmåltid,mellemmåltidspris," ")</f>
        <v xml:space="preserve"> </v>
      </c>
      <c r="J149" s="71" t="str">
        <f>IF(Tilmeldingsoversigt!$C$11="x",mellemmåltid," ")</f>
        <v xml:space="preserve"> </v>
      </c>
      <c r="K149" s="72" t="str">
        <f>IF(J149=mellemmåltid,mellemmåltidspris," ")</f>
        <v xml:space="preserve"> </v>
      </c>
      <c r="L149" s="71" t="str">
        <f>IF(Tilmeldingsoversigt!$C$11="x",mellemmåltid," ")</f>
        <v xml:space="preserve"> </v>
      </c>
      <c r="M149" s="72" t="str">
        <f>IF(L149=mellemmåltid,mellemmåltidspris," ")</f>
        <v xml:space="preserve"> </v>
      </c>
      <c r="N149" s="71" t="str">
        <f>IF(Tilmeldingsoversigt!$C$11="x",mellemmåltid," ")</f>
        <v xml:space="preserve"> </v>
      </c>
      <c r="O149" s="73" t="str">
        <f>IF(N149=mellemmåltid,mellemmåltidspris," ")</f>
        <v xml:space="preserve"> </v>
      </c>
      <c r="P149" s="66"/>
    </row>
    <row r="150" spans="2:16" x14ac:dyDescent="0.25">
      <c r="B150" s="84" t="s">
        <v>44</v>
      </c>
      <c r="C150" s="11">
        <f ca="1">SUM(C145:C149)</f>
        <v>99.311475409836063</v>
      </c>
      <c r="D150" s="74"/>
      <c r="E150" s="11">
        <f ca="1">SUM(E145:E149)</f>
        <v>99.311475409836063</v>
      </c>
      <c r="F150" s="74"/>
      <c r="G150" s="11">
        <f ca="1">SUM(G145:G149)</f>
        <v>99.311475409836063</v>
      </c>
      <c r="H150" s="74"/>
      <c r="I150" s="11">
        <f ca="1">SUM(I145:I149)</f>
        <v>99.311475409836063</v>
      </c>
      <c r="J150" s="74"/>
      <c r="K150" s="11">
        <f ca="1">SUM(K145:K149)</f>
        <v>99.311475409836063</v>
      </c>
      <c r="L150" s="74"/>
      <c r="M150" s="11">
        <f ca="1">SUM(M145:M149)</f>
        <v>99.311475409836063</v>
      </c>
      <c r="N150" s="74"/>
      <c r="O150" s="12">
        <f ca="1">SUM(O145:O149)</f>
        <v>99.311475409836063</v>
      </c>
      <c r="P150" s="75">
        <f ca="1">SUM(C150,E150,G150,I150,K150,M150,O150)</f>
        <v>695.18032786885237</v>
      </c>
    </row>
    <row r="151" spans="2:16" x14ac:dyDescent="0.2">
      <c r="B151" s="76"/>
      <c r="C151" s="77"/>
      <c r="D151" s="77"/>
      <c r="E151" s="77"/>
      <c r="F151" s="77"/>
      <c r="G151" s="77"/>
      <c r="H151" s="77"/>
      <c r="I151" s="77"/>
      <c r="J151" s="77"/>
      <c r="K151" s="77"/>
      <c r="L151" s="77"/>
      <c r="M151" s="77"/>
      <c r="N151" s="77"/>
      <c r="O151" s="77"/>
      <c r="P151" s="76"/>
    </row>
    <row r="152" spans="2:16" ht="12.75" x14ac:dyDescent="0.25">
      <c r="B152" s="78">
        <f>N143+1</f>
        <v>18</v>
      </c>
      <c r="C152" s="79"/>
      <c r="D152" s="78">
        <f>B152+1</f>
        <v>19</v>
      </c>
      <c r="E152" s="79"/>
      <c r="F152" s="78">
        <f>D152+1</f>
        <v>20</v>
      </c>
      <c r="G152" s="79"/>
      <c r="H152" s="78">
        <f>F152+1</f>
        <v>21</v>
      </c>
      <c r="I152" s="79"/>
      <c r="J152" s="78">
        <f>H152+1</f>
        <v>22</v>
      </c>
      <c r="K152" s="79"/>
      <c r="L152" s="78">
        <f>J152+1</f>
        <v>23</v>
      </c>
      <c r="M152" s="79"/>
      <c r="N152" s="78">
        <f>L152+1</f>
        <v>24</v>
      </c>
      <c r="O152" s="79"/>
      <c r="P152" s="80"/>
    </row>
    <row r="153" spans="2:16" x14ac:dyDescent="0.25">
      <c r="B153" s="64" t="s">
        <v>42</v>
      </c>
      <c r="C153" s="81" t="s">
        <v>43</v>
      </c>
      <c r="D153" s="64" t="s">
        <v>42</v>
      </c>
      <c r="E153" s="81" t="s">
        <v>43</v>
      </c>
      <c r="F153" s="64" t="s">
        <v>42</v>
      </c>
      <c r="G153" s="81" t="s">
        <v>43</v>
      </c>
      <c r="H153" s="64" t="s">
        <v>42</v>
      </c>
      <c r="I153" s="81" t="s">
        <v>43</v>
      </c>
      <c r="J153" s="64" t="s">
        <v>42</v>
      </c>
      <c r="K153" s="81" t="s">
        <v>43</v>
      </c>
      <c r="L153" s="64" t="s">
        <v>42</v>
      </c>
      <c r="M153" s="81" t="s">
        <v>43</v>
      </c>
      <c r="N153" s="64" t="s">
        <v>42</v>
      </c>
      <c r="O153" s="82" t="s">
        <v>43</v>
      </c>
      <c r="P153" s="66"/>
    </row>
    <row r="154" spans="2:16" x14ac:dyDescent="0.25">
      <c r="B154" s="136" t="str">
        <f>IF(Tilmeldingsoversigt!$C$7="x",Morgenmad," ")</f>
        <v>Morgenmad</v>
      </c>
      <c r="C154" s="67">
        <f ca="1">IF(B154=Morgenmad,Tilmeldingsoversigt!$C$15," ")</f>
        <v>16.754098360655739</v>
      </c>
      <c r="D154" s="136" t="str">
        <f>IF(Tilmeldingsoversigt!$D$7="x",Morgenmad," ")</f>
        <v>Morgenmad</v>
      </c>
      <c r="E154" s="67">
        <f ca="1">IF(D154=Morgenmad,Tilmeldingsoversigt!$C$15," ")</f>
        <v>16.754098360655739</v>
      </c>
      <c r="F154" s="136" t="str">
        <f>IF(Tilmeldingsoversigt!$E$7="x",Morgenmad," ")</f>
        <v>Morgenmad</v>
      </c>
      <c r="G154" s="67">
        <f ca="1">IF(F154=Morgenmad,Tilmeldingsoversigt!$C$15," ")</f>
        <v>16.754098360655739</v>
      </c>
      <c r="H154" s="136" t="str">
        <f>IF(Tilmeldingsoversigt!$F$7="x",Morgenmad," ")</f>
        <v>Morgenmad</v>
      </c>
      <c r="I154" s="67">
        <f ca="1">IF(H154=Morgenmad,Tilmeldingsoversigt!$C$15," ")</f>
        <v>16.754098360655739</v>
      </c>
      <c r="J154" s="136" t="str">
        <f>IF(Tilmeldingsoversigt!$G$7="x",Morgenmad," ")</f>
        <v>Morgenmad</v>
      </c>
      <c r="K154" s="67">
        <f ca="1">IF(J154=Morgenmad,Tilmeldingsoversigt!$C$15," ")</f>
        <v>16.754098360655739</v>
      </c>
      <c r="L154" s="136" t="str">
        <f>IF(Tilmeldingsoversigt!$H$7="x",Morgenmad," ")</f>
        <v>Morgenmad</v>
      </c>
      <c r="M154" s="67">
        <f ca="1">IF(L154=Morgenmad,Tilmeldingsoversigt!$C$15," ")</f>
        <v>16.754098360655739</v>
      </c>
      <c r="N154" s="136" t="str">
        <f>IF(Tilmeldingsoversigt!$I$7="x",Morgenmad," ")</f>
        <v>Morgenmad</v>
      </c>
      <c r="O154" s="83">
        <f ca="1">IF(N154=Morgenmad,Tilmeldingsoversigt!$C$15," ")</f>
        <v>16.754098360655739</v>
      </c>
      <c r="P154" s="66"/>
    </row>
    <row r="155" spans="2:16" x14ac:dyDescent="0.25">
      <c r="B155" s="68" t="str">
        <f>IF(Tilmeldingsoversigt!$C$8="x",hovedret," ")</f>
        <v>Hovedret</v>
      </c>
      <c r="C155" s="69">
        <f ca="1">IF(B155=hovedret,Tilmeldingsoversigt!$C$16," ")</f>
        <v>55.016393442622949</v>
      </c>
      <c r="D155" s="68" t="str">
        <f>IF(Tilmeldingsoversigt!$D$8="x",hovedret," ")</f>
        <v>Hovedret</v>
      </c>
      <c r="E155" s="69">
        <f ca="1">IF(D155=hovedret,Tilmeldingsoversigt!$C$16," ")</f>
        <v>55.016393442622949</v>
      </c>
      <c r="F155" s="68" t="str">
        <f>IF(Tilmeldingsoversigt!$E$8="x",hovedret," ")</f>
        <v>Hovedret</v>
      </c>
      <c r="G155" s="69">
        <f ca="1">IF(F155=hovedret,Tilmeldingsoversigt!$C$16," ")</f>
        <v>55.016393442622949</v>
      </c>
      <c r="H155" s="68" t="str">
        <f>IF(Tilmeldingsoversigt!$F$8="x",hovedret," ")</f>
        <v>Hovedret</v>
      </c>
      <c r="I155" s="69">
        <f ca="1">IF(H155=hovedret,Tilmeldingsoversigt!$C$16," ")</f>
        <v>55.016393442622949</v>
      </c>
      <c r="J155" s="68" t="str">
        <f>IF(Tilmeldingsoversigt!$G$8="x",hovedret," ")</f>
        <v>Hovedret</v>
      </c>
      <c r="K155" s="69">
        <f ca="1">IF(J155=hovedret,Tilmeldingsoversigt!$C$16," ")</f>
        <v>55.016393442622949</v>
      </c>
      <c r="L155" s="68" t="str">
        <f>IF(Tilmeldingsoversigt!$H$8="x",hovedret," ")</f>
        <v>Hovedret</v>
      </c>
      <c r="M155" s="69">
        <f ca="1">IF(L155=hovedret,Tilmeldingsoversigt!$C$16," ")</f>
        <v>55.016393442622949</v>
      </c>
      <c r="N155" s="68" t="str">
        <f>IF(Tilmeldingsoversigt!$I$8="x",hovedret," ")</f>
        <v>Hovedret</v>
      </c>
      <c r="O155" s="70">
        <f ca="1">IF(N155=hovedret,Tilmeldingsoversigt!$C$16," ")</f>
        <v>55.016393442622949</v>
      </c>
      <c r="P155" s="66"/>
    </row>
    <row r="156" spans="2:16" x14ac:dyDescent="0.25">
      <c r="B156" s="68" t="str">
        <f>IF(Tilmeldingsoversigt!$C$9="x",Aftensmad," ")</f>
        <v>Aftensmad</v>
      </c>
      <c r="C156" s="69">
        <f ca="1">IF(B156=Aftensmad,Tilmeldingsoversigt!$C$17," ")</f>
        <v>27.540983606557376</v>
      </c>
      <c r="D156" s="68" t="str">
        <f>IF(Tilmeldingsoversigt!$D$9="x",Aftensmad," ")</f>
        <v>Aftensmad</v>
      </c>
      <c r="E156" s="69">
        <f ca="1">IF(D156=Aftensmad,Tilmeldingsoversigt!$C$17," ")</f>
        <v>27.540983606557376</v>
      </c>
      <c r="F156" s="68" t="str">
        <f>IF(Tilmeldingsoversigt!$E$9="x",Aftensmad," ")</f>
        <v>Aftensmad</v>
      </c>
      <c r="G156" s="69">
        <f ca="1">IF(F156=Aftensmad,Tilmeldingsoversigt!$C$17," ")</f>
        <v>27.540983606557376</v>
      </c>
      <c r="H156" s="68" t="str">
        <f>IF(Tilmeldingsoversigt!$F$9="x",Aftensmad," ")</f>
        <v>Aftensmad</v>
      </c>
      <c r="I156" s="69">
        <f ca="1">IF(H156=Aftensmad,Tilmeldingsoversigt!$C$17," ")</f>
        <v>27.540983606557376</v>
      </c>
      <c r="J156" s="68" t="str">
        <f>IF(Tilmeldingsoversigt!$G$9="x",Aftensmad," ")</f>
        <v>Aftensmad</v>
      </c>
      <c r="K156" s="69">
        <f ca="1">IF(J156=Aftensmad,Tilmeldingsoversigt!$C$17," ")</f>
        <v>27.540983606557376</v>
      </c>
      <c r="L156" s="68" t="str">
        <f>IF(Tilmeldingsoversigt!$H$9="x",Aftensmad," ")</f>
        <v>Aftensmad</v>
      </c>
      <c r="M156" s="69">
        <f ca="1">IF(L156=Aftensmad,Tilmeldingsoversigt!$C$17," ")</f>
        <v>27.540983606557376</v>
      </c>
      <c r="N156" s="68" t="str">
        <f>IF(Tilmeldingsoversigt!$I$9="x",Aftensmad," ")</f>
        <v>Aftensmad</v>
      </c>
      <c r="O156" s="70">
        <f ca="1">IF(N156=Aftensmad,Tilmeldingsoversigt!$C$17," ")</f>
        <v>27.540983606557376</v>
      </c>
      <c r="P156" s="66"/>
    </row>
    <row r="157" spans="2:16" x14ac:dyDescent="0.25">
      <c r="B157" s="68" t="str">
        <f>IF(Tilmeldingsoversigt!$C$10="x",biret," ")</f>
        <v>Biret</v>
      </c>
      <c r="C157" s="69">
        <f>IF(B157=biret,biretpris," ")</f>
        <v>0</v>
      </c>
      <c r="D157" s="68" t="str">
        <f>IF(Tilmeldingsoversigt!$D$10="x",biret," ")</f>
        <v>Biret</v>
      </c>
      <c r="E157" s="69">
        <f>IF(D157=biret,biretpris," ")</f>
        <v>0</v>
      </c>
      <c r="F157" s="68" t="str">
        <f>IF(Tilmeldingsoversigt!$E$10="x",biret," ")</f>
        <v>Biret</v>
      </c>
      <c r="G157" s="69">
        <f>IF(F157=biret,biretpris," ")</f>
        <v>0</v>
      </c>
      <c r="H157" s="68" t="str">
        <f>IF(Tilmeldingsoversigt!$F$10="x",biret," ")</f>
        <v>Biret</v>
      </c>
      <c r="I157" s="69">
        <f>IF(H157=biret,biretpris," ")</f>
        <v>0</v>
      </c>
      <c r="J157" s="68" t="str">
        <f>IF(Tilmeldingsoversigt!$G$10="x",biret," ")</f>
        <v>Biret</v>
      </c>
      <c r="K157" s="69">
        <f>IF(J157=biret,biretpris," ")</f>
        <v>0</v>
      </c>
      <c r="L157" s="68" t="str">
        <f>IF(Tilmeldingsoversigt!$H$10="x",biret," ")</f>
        <v>Biret</v>
      </c>
      <c r="M157" s="69">
        <f>IF(L157=biret,biretpris," ")</f>
        <v>0</v>
      </c>
      <c r="N157" s="68" t="str">
        <f>IF(Tilmeldingsoversigt!$I$10="x",biret," ")</f>
        <v>Biret</v>
      </c>
      <c r="O157" s="70">
        <f>IF(N157=biret,biretpris," ")</f>
        <v>0</v>
      </c>
      <c r="P157" s="66"/>
    </row>
    <row r="158" spans="2:16" x14ac:dyDescent="0.25">
      <c r="B158" s="71" t="str">
        <f>IF(Tilmeldingsoversigt!$C$11="x",mellemmåltid," ")</f>
        <v xml:space="preserve"> </v>
      </c>
      <c r="C158" s="72" t="str">
        <f>IF(B158=mellemmåltid,mellemmåltidspris," ")</f>
        <v xml:space="preserve"> </v>
      </c>
      <c r="D158" s="71" t="str">
        <f>IF(Tilmeldingsoversigt!$C$11="x",mellemmåltid," ")</f>
        <v xml:space="preserve"> </v>
      </c>
      <c r="E158" s="72" t="str">
        <f>IF(D158=mellemmåltid,mellemmåltidspris," ")</f>
        <v xml:space="preserve"> </v>
      </c>
      <c r="F158" s="71" t="str">
        <f>IF(Tilmeldingsoversigt!$C$11="x",mellemmåltid," ")</f>
        <v xml:space="preserve"> </v>
      </c>
      <c r="G158" s="72" t="str">
        <f>IF(F158=mellemmåltid,mellemmåltidspris," ")</f>
        <v xml:space="preserve"> </v>
      </c>
      <c r="H158" s="71" t="str">
        <f>IF(Tilmeldingsoversigt!$C$11="x",mellemmåltid," ")</f>
        <v xml:space="preserve"> </v>
      </c>
      <c r="I158" s="72" t="str">
        <f>IF(H158=mellemmåltid,mellemmåltidspris," ")</f>
        <v xml:space="preserve"> </v>
      </c>
      <c r="J158" s="71" t="str">
        <f>IF(Tilmeldingsoversigt!$C$11="x",mellemmåltid," ")</f>
        <v xml:space="preserve"> </v>
      </c>
      <c r="K158" s="72" t="str">
        <f>IF(J158=mellemmåltid,mellemmåltidspris," ")</f>
        <v xml:space="preserve"> </v>
      </c>
      <c r="L158" s="71" t="str">
        <f>IF(Tilmeldingsoversigt!$C$11="x",mellemmåltid," ")</f>
        <v xml:space="preserve"> </v>
      </c>
      <c r="M158" s="72" t="str">
        <f>IF(L158=mellemmåltid,mellemmåltidspris," ")</f>
        <v xml:space="preserve"> </v>
      </c>
      <c r="N158" s="71" t="str">
        <f>IF(Tilmeldingsoversigt!$C$11="x",mellemmåltid," ")</f>
        <v xml:space="preserve"> </v>
      </c>
      <c r="O158" s="73" t="str">
        <f>IF(N158=mellemmåltid,mellemmåltidspris," ")</f>
        <v xml:space="preserve"> </v>
      </c>
      <c r="P158" s="66"/>
    </row>
    <row r="159" spans="2:16" x14ac:dyDescent="0.25">
      <c r="B159" s="74" t="s">
        <v>44</v>
      </c>
      <c r="C159" s="11">
        <f ca="1">SUM(C154:C158)</f>
        <v>99.311475409836063</v>
      </c>
      <c r="D159" s="74"/>
      <c r="E159" s="11">
        <f ca="1">SUM(E154:E158)</f>
        <v>99.311475409836063</v>
      </c>
      <c r="F159" s="74"/>
      <c r="G159" s="11">
        <f ca="1">SUM(G154:G158)</f>
        <v>99.311475409836063</v>
      </c>
      <c r="H159" s="74"/>
      <c r="I159" s="11">
        <f ca="1">SUM(I154:I158)</f>
        <v>99.311475409836063</v>
      </c>
      <c r="J159" s="74"/>
      <c r="K159" s="11">
        <f ca="1">SUM(K154:K158)</f>
        <v>99.311475409836063</v>
      </c>
      <c r="L159" s="74"/>
      <c r="M159" s="11">
        <f ca="1">SUM(M154:M158)</f>
        <v>99.311475409836063</v>
      </c>
      <c r="N159" s="74"/>
      <c r="O159" s="12">
        <f ca="1">SUM(O154:O158)</f>
        <v>99.311475409836063</v>
      </c>
      <c r="P159" s="75">
        <f ca="1">SUM(C159,E159,G159,I159,K159,M159,O159)</f>
        <v>695.18032786885237</v>
      </c>
    </row>
    <row r="160" spans="2:16" x14ac:dyDescent="0.2">
      <c r="B160" s="76"/>
      <c r="C160" s="77"/>
      <c r="D160" s="77"/>
      <c r="E160" s="77"/>
      <c r="F160" s="77"/>
      <c r="G160" s="77"/>
      <c r="H160" s="77"/>
      <c r="I160" s="77"/>
      <c r="J160" s="77"/>
      <c r="K160" s="77"/>
      <c r="L160" s="77"/>
      <c r="M160" s="77"/>
      <c r="N160" s="77"/>
      <c r="O160" s="77"/>
      <c r="P160" s="76"/>
    </row>
    <row r="161" spans="2:16" ht="12.75" x14ac:dyDescent="0.25">
      <c r="B161" s="78">
        <f>DAY(IF(DAY(MarSøn1)=1,MarSøn1+22,MarSøn1+29))</f>
        <v>25</v>
      </c>
      <c r="C161" s="79"/>
      <c r="D161" s="78">
        <f>DAY(IF(DAY(MarSøn1)=1,MarSøn1+23,MarSøn1+30))</f>
        <v>26</v>
      </c>
      <c r="E161" s="79"/>
      <c r="F161" s="78">
        <f>DAY(IF(DAY(MarSøn1)=1,MarSøn1+24,MarSøn1+31))</f>
        <v>27</v>
      </c>
      <c r="G161" s="79"/>
      <c r="H161" s="78">
        <f>DAY(IF(DAY(MarSøn1)=1,MarSøn1+25,MarSøn1+32))</f>
        <v>28</v>
      </c>
      <c r="I161" s="79"/>
      <c r="J161" s="78">
        <f>DAY(IF(DAY(MarSøn1)=1,MarSøn1+26,MarSøn1+33))</f>
        <v>29</v>
      </c>
      <c r="K161" s="79"/>
      <c r="L161" s="78">
        <f>DAY(IF(DAY(MarSøn1)=1,MarSøn1+27,MarSøn1+34))</f>
        <v>30</v>
      </c>
      <c r="M161" s="79"/>
      <c r="N161" s="78">
        <f>DAY(IF(DAY(MarSøn1)=1,MarSøn1+28,MarSøn1+35))</f>
        <v>31</v>
      </c>
      <c r="O161" s="79"/>
      <c r="P161" s="85"/>
    </row>
    <row r="162" spans="2:16" x14ac:dyDescent="0.25">
      <c r="B162" s="64" t="s">
        <v>42</v>
      </c>
      <c r="C162" s="81" t="s">
        <v>43</v>
      </c>
      <c r="D162" s="64" t="s">
        <v>42</v>
      </c>
      <c r="E162" s="81" t="s">
        <v>43</v>
      </c>
      <c r="F162" s="64" t="s">
        <v>42</v>
      </c>
      <c r="G162" s="81" t="s">
        <v>43</v>
      </c>
      <c r="H162" s="64" t="s">
        <v>42</v>
      </c>
      <c r="I162" s="81" t="s">
        <v>43</v>
      </c>
      <c r="J162" s="64" t="s">
        <v>42</v>
      </c>
      <c r="K162" s="81" t="s">
        <v>43</v>
      </c>
      <c r="L162" s="64" t="s">
        <v>42</v>
      </c>
      <c r="M162" s="81" t="s">
        <v>43</v>
      </c>
      <c r="N162" s="64" t="s">
        <v>42</v>
      </c>
      <c r="O162" s="82" t="s">
        <v>43</v>
      </c>
      <c r="P162" s="66"/>
    </row>
    <row r="163" spans="2:16" x14ac:dyDescent="0.25">
      <c r="B163" s="136" t="str">
        <f>IF(Tilmeldingsoversigt!$C$7="x",Morgenmad," ")</f>
        <v>Morgenmad</v>
      </c>
      <c r="C163" s="67">
        <f ca="1">IF(B163=Morgenmad,Tilmeldingsoversigt!$C$15," ")</f>
        <v>16.754098360655739</v>
      </c>
      <c r="D163" s="136" t="str">
        <f>IF(Tilmeldingsoversigt!$D$7="x",Morgenmad," ")</f>
        <v>Morgenmad</v>
      </c>
      <c r="E163" s="67">
        <f ca="1">IF(D163=Morgenmad,Tilmeldingsoversigt!$C$15," ")</f>
        <v>16.754098360655739</v>
      </c>
      <c r="F163" s="136" t="str">
        <f>IF(Tilmeldingsoversigt!$E$7="x",Morgenmad," ")</f>
        <v>Morgenmad</v>
      </c>
      <c r="G163" s="67">
        <f ca="1">IF(F163=Morgenmad,Tilmeldingsoversigt!$C$15," ")</f>
        <v>16.754098360655739</v>
      </c>
      <c r="H163" s="136" t="str">
        <f>IF(Tilmeldingsoversigt!$F$7="x",Morgenmad," ")</f>
        <v>Morgenmad</v>
      </c>
      <c r="I163" s="67">
        <f ca="1">IF(H163=Morgenmad,Tilmeldingsoversigt!$C$15," ")</f>
        <v>16.754098360655739</v>
      </c>
      <c r="J163" s="136"/>
      <c r="K163" s="67" t="str">
        <f>IF(J163=Morgenmad,Tilmeldingsoversigt!$C$15," ")</f>
        <v xml:space="preserve"> </v>
      </c>
      <c r="L163" s="136"/>
      <c r="M163" s="67" t="str">
        <f>IF(L163=Morgenmad,Tilmeldingsoversigt!$C$15," ")</f>
        <v xml:space="preserve"> </v>
      </c>
      <c r="N163" s="139"/>
      <c r="O163" s="86" t="str">
        <f>IF(N163=Morgenmad,Tilmeldingsoversigt!$C$15," ")</f>
        <v xml:space="preserve"> </v>
      </c>
      <c r="P163" s="66"/>
    </row>
    <row r="164" spans="2:16" x14ac:dyDescent="0.25">
      <c r="B164" s="68" t="str">
        <f>IF(Tilmeldingsoversigt!$C$8="x",hovedret," ")</f>
        <v>Hovedret</v>
      </c>
      <c r="C164" s="69">
        <f ca="1">IF(B164=hovedret,Tilmeldingsoversigt!$C$16," ")</f>
        <v>55.016393442622949</v>
      </c>
      <c r="D164" s="68" t="str">
        <f>IF(Tilmeldingsoversigt!$D$8="x",hovedret," ")</f>
        <v>Hovedret</v>
      </c>
      <c r="E164" s="69">
        <f ca="1">IF(D164=hovedret,Tilmeldingsoversigt!$C$16," ")</f>
        <v>55.016393442622949</v>
      </c>
      <c r="F164" s="68" t="str">
        <f>IF(Tilmeldingsoversigt!$E$8="x",hovedret," ")</f>
        <v>Hovedret</v>
      </c>
      <c r="G164" s="69">
        <f ca="1">IF(F164=hovedret,Tilmeldingsoversigt!$C$16," ")</f>
        <v>55.016393442622949</v>
      </c>
      <c r="H164" s="68" t="str">
        <f>IF(Tilmeldingsoversigt!$F$8="x",hovedret," ")</f>
        <v>Hovedret</v>
      </c>
      <c r="I164" s="69">
        <f ca="1">IF(H164=hovedret,Tilmeldingsoversigt!$C$16," ")</f>
        <v>55.016393442622949</v>
      </c>
      <c r="J164" s="68"/>
      <c r="K164" s="69" t="str">
        <f>IF(J164=hovedret,Tilmeldingsoversigt!$C$16," ")</f>
        <v xml:space="preserve"> </v>
      </c>
      <c r="L164" s="68"/>
      <c r="M164" s="69" t="str">
        <f>IF(L164=hovedret,Tilmeldingsoversigt!$C$16," ")</f>
        <v xml:space="preserve"> </v>
      </c>
      <c r="N164" s="87"/>
      <c r="O164" s="88" t="str">
        <f>IF(N164=hovedret,Tilmeldingsoversigt!$C$16," ")</f>
        <v xml:space="preserve"> </v>
      </c>
      <c r="P164" s="66"/>
    </row>
    <row r="165" spans="2:16" x14ac:dyDescent="0.25">
      <c r="B165" s="68" t="str">
        <f>IF(Tilmeldingsoversigt!$C$9="x",Aftensmad," ")</f>
        <v>Aftensmad</v>
      </c>
      <c r="C165" s="69">
        <f ca="1">IF(B165=Aftensmad,Tilmeldingsoversigt!$C$17," ")</f>
        <v>27.540983606557376</v>
      </c>
      <c r="D165" s="68" t="str">
        <f>IF(Tilmeldingsoversigt!$D$9="x",Aftensmad," ")</f>
        <v>Aftensmad</v>
      </c>
      <c r="E165" s="69">
        <f ca="1">IF(D165=Aftensmad,Tilmeldingsoversigt!$C$17," ")</f>
        <v>27.540983606557376</v>
      </c>
      <c r="F165" s="68" t="str">
        <f>IF(Tilmeldingsoversigt!$E$9="x",Aftensmad," ")</f>
        <v>Aftensmad</v>
      </c>
      <c r="G165" s="69">
        <f ca="1">IF(F165=Aftensmad,Tilmeldingsoversigt!$C$17," ")</f>
        <v>27.540983606557376</v>
      </c>
      <c r="H165" s="68" t="str">
        <f>IF(Tilmeldingsoversigt!$F$9="x",Aftensmad," ")</f>
        <v>Aftensmad</v>
      </c>
      <c r="I165" s="69">
        <f ca="1">IF(H165=Aftensmad,Tilmeldingsoversigt!$C$17," ")</f>
        <v>27.540983606557376</v>
      </c>
      <c r="J165" s="68"/>
      <c r="K165" s="69" t="str">
        <f>IF(J165=Aftensmad,Tilmeldingsoversigt!$C$17," ")</f>
        <v xml:space="preserve"> </v>
      </c>
      <c r="L165" s="68"/>
      <c r="M165" s="69" t="str">
        <f>IF(L165=Aftensmad,Tilmeldingsoversigt!$C$17," ")</f>
        <v xml:space="preserve"> </v>
      </c>
      <c r="N165" s="87"/>
      <c r="O165" s="88" t="str">
        <f>IF(N165=Aftensmad,Tilmeldingsoversigt!$C$17," ")</f>
        <v xml:space="preserve"> </v>
      </c>
      <c r="P165" s="66"/>
    </row>
    <row r="166" spans="2:16" x14ac:dyDescent="0.25">
      <c r="B166" s="68" t="str">
        <f>IF(Tilmeldingsoversigt!$C$10="x",biret," ")</f>
        <v>Biret</v>
      </c>
      <c r="C166" s="69">
        <f>IF(B166=biret,biretpris," ")</f>
        <v>0</v>
      </c>
      <c r="D166" s="68" t="str">
        <f>IF(Tilmeldingsoversigt!$D$10="x",biret," ")</f>
        <v>Biret</v>
      </c>
      <c r="E166" s="69">
        <f>IF(D166=biret,biretpris," ")</f>
        <v>0</v>
      </c>
      <c r="F166" s="68" t="str">
        <f>IF(Tilmeldingsoversigt!$E$10="x",biret," ")</f>
        <v>Biret</v>
      </c>
      <c r="G166" s="69">
        <f>IF(F166=biret,biretpris," ")</f>
        <v>0</v>
      </c>
      <c r="H166" s="68" t="str">
        <f>IF(Tilmeldingsoversigt!$F$10="x",biret," ")</f>
        <v>Biret</v>
      </c>
      <c r="I166" s="69">
        <f>IF(H166=biret,biretpris," ")</f>
        <v>0</v>
      </c>
      <c r="J166" s="68"/>
      <c r="K166" s="69" t="str">
        <f>IF(J166=biret,biretpris," ")</f>
        <v xml:space="preserve"> </v>
      </c>
      <c r="L166" s="68"/>
      <c r="M166" s="69" t="str">
        <f>IF(L166=biret,biretpris," ")</f>
        <v xml:space="preserve"> </v>
      </c>
      <c r="N166" s="68"/>
      <c r="O166" s="70" t="str">
        <f>IF(N166=biret,biretpris," ")</f>
        <v xml:space="preserve"> </v>
      </c>
      <c r="P166" s="66"/>
    </row>
    <row r="167" spans="2:16" x14ac:dyDescent="0.25">
      <c r="B167" s="71" t="str">
        <f>IF(Tilmeldingsoversigt!$C$11="x",mellemmåltid," ")</f>
        <v xml:space="preserve"> </v>
      </c>
      <c r="C167" s="72" t="str">
        <f>IF(B167=mellemmåltid,mellemmåltidspris," ")</f>
        <v xml:space="preserve"> </v>
      </c>
      <c r="D167" s="71" t="str">
        <f>IF(Tilmeldingsoversigt!$C$11="x",mellemmåltid," ")</f>
        <v xml:space="preserve"> </v>
      </c>
      <c r="E167" s="72" t="str">
        <f>IF(D167=mellemmåltid,mellemmåltidspris," ")</f>
        <v xml:space="preserve"> </v>
      </c>
      <c r="F167" s="71" t="str">
        <f>IF(Tilmeldingsoversigt!$C$11="x",mellemmåltid," ")</f>
        <v xml:space="preserve"> </v>
      </c>
      <c r="G167" s="72" t="str">
        <f>IF(F167=mellemmåltid,mellemmåltidspris," ")</f>
        <v xml:space="preserve"> </v>
      </c>
      <c r="H167" s="71" t="str">
        <f>IF(Tilmeldingsoversigt!$C$11="x",mellemmåltid," ")</f>
        <v xml:space="preserve"> </v>
      </c>
      <c r="I167" s="72" t="str">
        <f>IF(H167=mellemmåltid,mellemmåltidspris," ")</f>
        <v xml:space="preserve"> </v>
      </c>
      <c r="J167" s="71"/>
      <c r="K167" s="72" t="str">
        <f>IF(J167=mellemmåltid,mellemmåltidspris," ")</f>
        <v xml:space="preserve"> </v>
      </c>
      <c r="L167" s="71"/>
      <c r="M167" s="72" t="str">
        <f>IF(L167=mellemmåltid,mellemmåltidspris," ")</f>
        <v xml:space="preserve"> </v>
      </c>
      <c r="N167" s="71"/>
      <c r="O167" s="73" t="str">
        <f>IF(N167=mellemmåltid,mellemmåltidspris," ")</f>
        <v xml:space="preserve"> </v>
      </c>
      <c r="P167" s="66"/>
    </row>
    <row r="168" spans="2:16" x14ac:dyDescent="0.25">
      <c r="B168" s="74" t="s">
        <v>44</v>
      </c>
      <c r="C168" s="11">
        <f ca="1">SUM(C163:C167)</f>
        <v>99.311475409836063</v>
      </c>
      <c r="D168" s="74"/>
      <c r="E168" s="11">
        <f ca="1">SUM(E163:E167)</f>
        <v>99.311475409836063</v>
      </c>
      <c r="F168" s="74"/>
      <c r="G168" s="11">
        <f ca="1">SUM(G163:G167)</f>
        <v>99.311475409836063</v>
      </c>
      <c r="H168" s="74"/>
      <c r="I168" s="11">
        <f ca="1">SUM(I163:I167)</f>
        <v>99.311475409836063</v>
      </c>
      <c r="J168" s="74"/>
      <c r="K168" s="11">
        <f>SUM(K163:K167)</f>
        <v>0</v>
      </c>
      <c r="L168" s="74"/>
      <c r="M168" s="11">
        <f>SUM(M163:M167)</f>
        <v>0</v>
      </c>
      <c r="N168" s="74"/>
      <c r="O168" s="12">
        <f>SUM(O163:O167)</f>
        <v>0</v>
      </c>
      <c r="P168" s="75">
        <f ca="1">SUMIF(B161:N161,"&gt;="&amp;15,C168:O168)</f>
        <v>397.24590163934425</v>
      </c>
    </row>
    <row r="169" spans="2:16" x14ac:dyDescent="0.2">
      <c r="B169" s="76"/>
      <c r="C169" s="77"/>
      <c r="D169" s="77"/>
      <c r="E169" s="77"/>
      <c r="F169" s="77"/>
      <c r="G169" s="77"/>
      <c r="H169" s="77"/>
      <c r="I169" s="77"/>
      <c r="J169" s="77"/>
      <c r="K169" s="77"/>
      <c r="L169" s="77"/>
      <c r="M169" s="77"/>
      <c r="N169" s="77"/>
      <c r="O169" s="77"/>
      <c r="P169" s="76"/>
    </row>
    <row r="170" spans="2:16" ht="12.75" x14ac:dyDescent="0.25">
      <c r="B170" s="78">
        <f>DAY(IF(DAY(MarSøn1)=1,MarSøn1+29,MarSøn1+36))</f>
        <v>1</v>
      </c>
      <c r="C170" s="91"/>
      <c r="D170" s="78">
        <f>DAY(IF(DAY(MarSøn1)=1,MarSøn1+30,MarSøn1+37))</f>
        <v>2</v>
      </c>
      <c r="E170" s="79"/>
      <c r="F170" s="92">
        <f>DAY(IF(DAY(MarSøn1)=1,MarSøn1+31,MarSøn1+38))</f>
        <v>3</v>
      </c>
      <c r="G170" s="79"/>
      <c r="H170" s="78">
        <f>DAY(IF(DAY(MarSøn1)=1,MarSøn1+32,MarSøn1+39))</f>
        <v>4</v>
      </c>
      <c r="I170" s="79"/>
      <c r="J170" s="78">
        <f>DAY(IF(DAY(MarSøn1)=1,MarSøn1+33,MarSøn1+40))</f>
        <v>5</v>
      </c>
      <c r="K170" s="79"/>
      <c r="L170" s="78">
        <f>DAY(IF(DAY(MarSøn1)=1,MarSøn1+34,MarSøn1+41))</f>
        <v>6</v>
      </c>
      <c r="M170" s="79"/>
      <c r="N170" s="78">
        <f>DAY(IF(DAY(MarSøn1)=1,MarSøn1+35,MarSøn1+42))</f>
        <v>7</v>
      </c>
      <c r="O170" s="79"/>
      <c r="P170" s="85"/>
    </row>
    <row r="171" spans="2:16" x14ac:dyDescent="0.25">
      <c r="B171" s="64" t="s">
        <v>42</v>
      </c>
      <c r="C171" s="81" t="s">
        <v>43</v>
      </c>
      <c r="D171" s="64" t="s">
        <v>42</v>
      </c>
      <c r="E171" s="81" t="s">
        <v>43</v>
      </c>
      <c r="F171" s="64" t="s">
        <v>42</v>
      </c>
      <c r="G171" s="81" t="s">
        <v>43</v>
      </c>
      <c r="H171" s="64" t="s">
        <v>42</v>
      </c>
      <c r="I171" s="81" t="s">
        <v>43</v>
      </c>
      <c r="J171" s="64" t="s">
        <v>42</v>
      </c>
      <c r="K171" s="81" t="s">
        <v>43</v>
      </c>
      <c r="L171" s="64" t="s">
        <v>42</v>
      </c>
      <c r="M171" s="81" t="s">
        <v>43</v>
      </c>
      <c r="N171" s="64" t="s">
        <v>42</v>
      </c>
      <c r="O171" s="82" t="s">
        <v>43</v>
      </c>
      <c r="P171" s="66"/>
    </row>
    <row r="172" spans="2:16" x14ac:dyDescent="0.25">
      <c r="B172" s="136"/>
      <c r="C172" s="67"/>
      <c r="D172" s="136"/>
      <c r="E172" s="67"/>
      <c r="F172" s="136"/>
      <c r="G172" s="67"/>
      <c r="H172" s="136"/>
      <c r="I172" s="67" t="str">
        <f>IF(H172=Morgenmad,Tilmeldingsoversigt!$C$15," ")</f>
        <v xml:space="preserve"> </v>
      </c>
      <c r="J172" s="136"/>
      <c r="K172" s="67" t="str">
        <f>IF(J172=Morgenmad,Tilmeldingsoversigt!$C$15," ")</f>
        <v xml:space="preserve"> </v>
      </c>
      <c r="L172" s="136"/>
      <c r="M172" s="67" t="str">
        <f>IF(L172=Morgenmad,Tilmeldingsoversigt!$C$15," ")</f>
        <v xml:space="preserve"> </v>
      </c>
      <c r="N172" s="136"/>
      <c r="O172" s="83" t="str">
        <f>IF(N172=Morgenmad,Tilmeldingsoversigt!$C$15," ")</f>
        <v xml:space="preserve"> </v>
      </c>
      <c r="P172" s="66"/>
    </row>
    <row r="173" spans="2:16" x14ac:dyDescent="0.25">
      <c r="B173" s="68"/>
      <c r="C173" s="69"/>
      <c r="D173" s="68"/>
      <c r="E173" s="69"/>
      <c r="F173" s="68"/>
      <c r="G173" s="69"/>
      <c r="H173" s="68"/>
      <c r="I173" s="69" t="str">
        <f>IF(H173=hovedret,Tilmeldingsoversigt!$C$16," ")</f>
        <v xml:space="preserve"> </v>
      </c>
      <c r="J173" s="68"/>
      <c r="K173" s="69" t="str">
        <f>IF(J173=hovedret,Tilmeldingsoversigt!$C$16," ")</f>
        <v xml:space="preserve"> </v>
      </c>
      <c r="L173" s="68"/>
      <c r="M173" s="69" t="str">
        <f>IF(L173=hovedret,Tilmeldingsoversigt!$C$16," ")</f>
        <v xml:space="preserve"> </v>
      </c>
      <c r="N173" s="68"/>
      <c r="O173" s="70" t="str">
        <f>IF(N173=hovedret,Tilmeldingsoversigt!$C$16," ")</f>
        <v xml:space="preserve"> </v>
      </c>
      <c r="P173" s="66"/>
    </row>
    <row r="174" spans="2:16" x14ac:dyDescent="0.25">
      <c r="B174" s="68"/>
      <c r="C174" s="69"/>
      <c r="D174" s="68"/>
      <c r="E174" s="69"/>
      <c r="F174" s="68"/>
      <c r="G174" s="69"/>
      <c r="H174" s="68"/>
      <c r="I174" s="69" t="str">
        <f>IF(H174=Aftensmad,Tilmeldingsoversigt!$C$17," ")</f>
        <v xml:space="preserve"> </v>
      </c>
      <c r="J174" s="68"/>
      <c r="K174" s="69" t="str">
        <f>IF(J174=Aftensmad,Tilmeldingsoversigt!$C$17," ")</f>
        <v xml:space="preserve"> </v>
      </c>
      <c r="L174" s="68"/>
      <c r="M174" s="69" t="str">
        <f>IF(L174=Aftensmad,Tilmeldingsoversigt!$C$17," ")</f>
        <v xml:space="preserve"> </v>
      </c>
      <c r="N174" s="68"/>
      <c r="O174" s="70" t="str">
        <f>IF(N174=Aftensmad,Tilmeldingsoversigt!$C$17," ")</f>
        <v xml:space="preserve"> </v>
      </c>
      <c r="P174" s="66"/>
    </row>
    <row r="175" spans="2:16" x14ac:dyDescent="0.25">
      <c r="B175" s="68"/>
      <c r="C175" s="69"/>
      <c r="D175" s="68"/>
      <c r="E175" s="69"/>
      <c r="F175" s="68"/>
      <c r="G175" s="69"/>
      <c r="H175" s="68"/>
      <c r="I175" s="69" t="str">
        <f>IF(H175=biret,biretpris," ")</f>
        <v xml:space="preserve"> </v>
      </c>
      <c r="J175" s="68"/>
      <c r="K175" s="69" t="str">
        <f>IF(J175=biret,biretpris," ")</f>
        <v xml:space="preserve"> </v>
      </c>
      <c r="L175" s="68"/>
      <c r="M175" s="69" t="str">
        <f>IF(L175=biret,biretpris," ")</f>
        <v xml:space="preserve"> </v>
      </c>
      <c r="N175" s="68"/>
      <c r="O175" s="70" t="str">
        <f>IF(N175=biret,biretpris," ")</f>
        <v xml:space="preserve"> </v>
      </c>
      <c r="P175" s="66"/>
    </row>
    <row r="176" spans="2:16" x14ac:dyDescent="0.25">
      <c r="B176" s="71"/>
      <c r="C176" s="72"/>
      <c r="D176" s="71"/>
      <c r="E176" s="72"/>
      <c r="F176" s="71"/>
      <c r="G176" s="72"/>
      <c r="H176" s="71"/>
      <c r="I176" s="72" t="str">
        <f>IF(H176=mellemmåltid,mellemmåltidspris," ")</f>
        <v xml:space="preserve"> </v>
      </c>
      <c r="J176" s="71"/>
      <c r="K176" s="72" t="str">
        <f>IF(J176=mellemmåltid,mellemmåltidspris," ")</f>
        <v xml:space="preserve"> </v>
      </c>
      <c r="L176" s="71"/>
      <c r="M176" s="72" t="str">
        <f>IF(L176=mellemmåltid,mellemmåltidspris," ")</f>
        <v xml:space="preserve"> </v>
      </c>
      <c r="N176" s="71"/>
      <c r="O176" s="73" t="str">
        <f>IF(N176=mellemmåltid,mellemmåltidspris," ")</f>
        <v xml:space="preserve"> </v>
      </c>
      <c r="P176" s="66"/>
    </row>
    <row r="177" spans="2:16" x14ac:dyDescent="0.25">
      <c r="B177" s="74" t="s">
        <v>44</v>
      </c>
      <c r="C177" s="11">
        <f>SUM(C172:C176)</f>
        <v>0</v>
      </c>
      <c r="D177" s="74"/>
      <c r="E177" s="11">
        <f>SUM(E172:E176)</f>
        <v>0</v>
      </c>
      <c r="F177" s="74"/>
      <c r="G177" s="11">
        <f>SUM(G172:G176)</f>
        <v>0</v>
      </c>
      <c r="H177" s="74"/>
      <c r="I177" s="11">
        <f>SUM(I172:I176)</f>
        <v>0</v>
      </c>
      <c r="J177" s="74"/>
      <c r="K177" s="11">
        <f>SUM(K172:K176)</f>
        <v>0</v>
      </c>
      <c r="L177" s="74"/>
      <c r="M177" s="11">
        <f>SUM(M172:M176)</f>
        <v>0</v>
      </c>
      <c r="N177" s="74"/>
      <c r="O177" s="12">
        <f>SUM(O172:O176)</f>
        <v>0</v>
      </c>
      <c r="P177" s="75">
        <f>SUMIF(B170:N170,"&gt;="&amp;15,C177:O177)</f>
        <v>0</v>
      </c>
    </row>
    <row r="178" spans="2:16" ht="17.25" customHeight="1" x14ac:dyDescent="0.2"/>
    <row r="179" spans="2:16" ht="15" x14ac:dyDescent="0.25">
      <c r="B179" s="246" t="s">
        <v>47</v>
      </c>
      <c r="C179" s="246"/>
      <c r="D179" s="246"/>
      <c r="E179" s="246"/>
      <c r="F179" s="51" t="s">
        <v>82</v>
      </c>
      <c r="G179" s="51"/>
      <c r="H179" s="51"/>
      <c r="I179" s="51"/>
      <c r="J179" s="51"/>
      <c r="K179" s="51"/>
      <c r="L179" s="247" t="s">
        <v>83</v>
      </c>
      <c r="M179" s="247"/>
      <c r="N179" s="247" t="s">
        <v>84</v>
      </c>
      <c r="O179" s="247"/>
      <c r="P179" s="49"/>
    </row>
    <row r="180" spans="2:16" ht="25.5" customHeight="1" x14ac:dyDescent="0.25">
      <c r="B180" s="246"/>
      <c r="C180" s="246"/>
      <c r="D180" s="246"/>
      <c r="E180" s="246"/>
      <c r="F180" s="97" t="str">
        <f>Morgenmad</f>
        <v>Morgenmad</v>
      </c>
      <c r="G180" s="97">
        <f ca="1">IF(april_sum=0,0,(COUNTIF($B$186:$O$235,Morgenmad)))-'Tilmeldte måltider'!G182</f>
        <v>0</v>
      </c>
      <c r="H180" s="97" t="str">
        <f>hovedret</f>
        <v>Hovedret</v>
      </c>
      <c r="I180" s="97">
        <f ca="1">IF(april_sum=0,0,(COUNTIF(B185:O234,hovedret)))-'Tilmeldte måltider'!I182</f>
        <v>0</v>
      </c>
      <c r="J180" s="97" t="str">
        <f>Aftensmad</f>
        <v>Aftensmad</v>
      </c>
      <c r="K180" s="97">
        <f ca="1">IF(april_sum=0,0,(COUNTIF(B185:O234,Aftensmad)))-'Tilmeldte måltider'!K182</f>
        <v>0</v>
      </c>
      <c r="L180" s="268" t="e">
        <f ca="1">(G180*Morgenpris)+(I180*Frokostpris)+(K180*Aftenpris)+(G181*biretpris)+(I181*mellemmåltidspris)+(M181*gæstehpris)+(O181*gæstebpris)</f>
        <v>#VALUE!</v>
      </c>
      <c r="M180" s="269"/>
      <c r="N180" s="270" t="e">
        <f ca="1">$L$3+$L$62+$L$121+$L$180+$L$239+$L$298</f>
        <v>#VALUE!</v>
      </c>
      <c r="O180" s="271"/>
      <c r="P180" s="49"/>
    </row>
    <row r="181" spans="2:16" ht="25.5" customHeight="1" x14ac:dyDescent="0.45">
      <c r="B181" s="121"/>
      <c r="C181" s="121"/>
      <c r="D181" s="121"/>
      <c r="E181" s="121"/>
      <c r="F181" s="98" t="str">
        <f>biret</f>
        <v>Biret</v>
      </c>
      <c r="G181" s="97">
        <f ca="1">IF(april_sum=0,0,(COUNTIF($B$186:$O$235,biret)))-'Tilmeldte måltider'!G183</f>
        <v>0</v>
      </c>
      <c r="H181" s="98" t="str">
        <f>mellemmåltid</f>
        <v>Mellemmåltid</v>
      </c>
      <c r="I181" s="97">
        <f ca="1">IF(april_sum=0,0,(COUNTIF($B$186:$O$235,mellemmåltid)))-'Tilmeldte måltider'!I183</f>
        <v>0</v>
      </c>
      <c r="J181" s="140" t="s">
        <v>105</v>
      </c>
      <c r="K181" s="140"/>
      <c r="L181" s="141" t="s">
        <v>25</v>
      </c>
      <c r="M181" s="100"/>
      <c r="N181" s="141" t="s">
        <v>15</v>
      </c>
      <c r="O181" s="100"/>
      <c r="P181" s="49"/>
    </row>
    <row r="182" spans="2:16" ht="9" customHeight="1" x14ac:dyDescent="0.2">
      <c r="B182" s="251">
        <v>1</v>
      </c>
      <c r="C182" s="251"/>
      <c r="D182" s="251">
        <v>2</v>
      </c>
      <c r="E182" s="251"/>
      <c r="F182" s="251">
        <v>3</v>
      </c>
      <c r="G182" s="251"/>
      <c r="H182" s="251">
        <v>4</v>
      </c>
      <c r="I182" s="251"/>
      <c r="J182" s="251">
        <v>5</v>
      </c>
      <c r="K182" s="251"/>
      <c r="L182" s="251">
        <v>6</v>
      </c>
      <c r="M182" s="251"/>
      <c r="N182" s="251">
        <v>7</v>
      </c>
      <c r="O182" s="251"/>
      <c r="P182" s="50"/>
    </row>
    <row r="183" spans="2:16" ht="15" customHeight="1" x14ac:dyDescent="0.25">
      <c r="B183" s="252" t="s">
        <v>34</v>
      </c>
      <c r="C183" s="253"/>
      <c r="D183" s="254" t="s">
        <v>35</v>
      </c>
      <c r="E183" s="255" t="e">
        <f>IF(WEEKDAY(DATEVALUE(Month1&amp;" 1, "&amp;Year1))=COLUMN(#REF!),1,IF(LEN(C183)&gt;0,C183+1,""))</f>
        <v>#NAME?</v>
      </c>
      <c r="F183" s="253" t="s">
        <v>36</v>
      </c>
      <c r="G183" s="253" t="e">
        <f>IF(WEEKDAY(DATEVALUE(Month1&amp;" 1, "&amp;Year1))=COLUMN(#REF!),1,IF(LEN(E183)&gt;0,E183+1,""))</f>
        <v>#NAME?</v>
      </c>
      <c r="H183" s="254" t="s">
        <v>37</v>
      </c>
      <c r="I183" s="255" t="e">
        <f>IF(WEEKDAY(DATEVALUE(Month1&amp;" 1, "&amp;Year1))=COLUMN(#REF!),1,IF(LEN(G183)&gt;0,G183+1,""))</f>
        <v>#NAME?</v>
      </c>
      <c r="J183" s="256" t="s">
        <v>38</v>
      </c>
      <c r="K183" s="257" t="e">
        <f>IF(WEEKDAY(DATEVALUE(Month1&amp;" 1, "&amp;Year1))=COLUMN(#REF!),1,IF(LEN(I183)&gt;0,I183+1,""))</f>
        <v>#NAME?</v>
      </c>
      <c r="L183" s="258" t="s">
        <v>39</v>
      </c>
      <c r="M183" s="259" t="e">
        <f>IF(WEEKDAY(DATEVALUE(Month1&amp;" 1, "&amp;Year1))=COLUMN(#REF!),1,IF(LEN(K183)&gt;0,K183+1,""))</f>
        <v>#NAME?</v>
      </c>
      <c r="N183" s="258" t="s">
        <v>40</v>
      </c>
      <c r="O183" s="259" t="e">
        <f>IF(WEEKDAY(DATEVALUE(Month1&amp;" 1, "&amp;Year1))=COLUMN(#REF!),1,IF(LEN(M183)&gt;0,M183+1,""))</f>
        <v>#NAME?</v>
      </c>
      <c r="P183" s="53" t="s">
        <v>41</v>
      </c>
    </row>
    <row r="184" spans="2:16" ht="12.75" x14ac:dyDescent="0.25">
      <c r="B184" s="55">
        <f>DAY(IF(DAY(AprSøn1)=1,AprSøn1-6,AprSøn1+1))</f>
        <v>1</v>
      </c>
      <c r="C184" s="56"/>
      <c r="D184" s="57">
        <f>DAY(IF(DAY(AprSøn1)=1,AprSøn1-5,AprSøn1+2))</f>
        <v>2</v>
      </c>
      <c r="E184" s="56"/>
      <c r="F184" s="57">
        <f>DAY(IF(DAY(AprSøn1)=1,AprSøn1-4,AprSøn1+3))</f>
        <v>3</v>
      </c>
      <c r="G184" s="56"/>
      <c r="H184" s="57">
        <f>DAY(IF(DAY(AprSøn1)=1,AprSøn1-3,AprSøn1+4))</f>
        <v>4</v>
      </c>
      <c r="I184" s="56"/>
      <c r="J184" s="57">
        <f>DAY(IF(DAY(AprSøn1)=1,AprSøn1-2,AprSøn1+5))</f>
        <v>5</v>
      </c>
      <c r="K184" s="56"/>
      <c r="L184" s="57">
        <f>DAY(IF(DAY(AprSøn1)=1,AprSøn1-1,AprSøn1+6))</f>
        <v>6</v>
      </c>
      <c r="M184" s="56"/>
      <c r="N184" s="58">
        <f>DAY(IF(DAY(AprSøn1)=1,AprSøn1,AprSøn1+7))</f>
        <v>7</v>
      </c>
      <c r="O184" s="59"/>
      <c r="P184" s="60"/>
    </row>
    <row r="185" spans="2:16" x14ac:dyDescent="0.25">
      <c r="B185" s="61" t="s">
        <v>42</v>
      </c>
      <c r="C185" s="62" t="s">
        <v>43</v>
      </c>
      <c r="D185" s="63" t="s">
        <v>42</v>
      </c>
      <c r="E185" s="62" t="s">
        <v>43</v>
      </c>
      <c r="F185" s="63" t="s">
        <v>42</v>
      </c>
      <c r="G185" s="62" t="s">
        <v>43</v>
      </c>
      <c r="H185" s="63" t="s">
        <v>42</v>
      </c>
      <c r="I185" s="62" t="s">
        <v>43</v>
      </c>
      <c r="J185" s="63" t="s">
        <v>42</v>
      </c>
      <c r="K185" s="62" t="s">
        <v>43</v>
      </c>
      <c r="L185" s="63" t="s">
        <v>42</v>
      </c>
      <c r="M185" s="62" t="s">
        <v>43</v>
      </c>
      <c r="N185" s="64" t="s">
        <v>42</v>
      </c>
      <c r="O185" s="65" t="s">
        <v>43</v>
      </c>
      <c r="P185" s="66"/>
    </row>
    <row r="186" spans="2:16" x14ac:dyDescent="0.25">
      <c r="B186" s="136"/>
      <c r="C186" s="67"/>
      <c r="D186" s="136"/>
      <c r="E186" s="67"/>
      <c r="F186" s="136"/>
      <c r="G186" s="67"/>
      <c r="H186" s="136"/>
      <c r="I186" s="67"/>
      <c r="J186" s="136" t="str">
        <f>IF(Tilmeldingsoversigt!$G$7="x",Morgenmad," ")</f>
        <v>Morgenmad</v>
      </c>
      <c r="K186" s="67">
        <f ca="1">IF(J186=Morgenmad,Tilmeldingsoversigt!$C$15," ")</f>
        <v>16.754098360655739</v>
      </c>
      <c r="L186" s="136" t="str">
        <f>IF(Tilmeldingsoversigt!$H$7="x",Morgenmad," ")</f>
        <v>Morgenmad</v>
      </c>
      <c r="M186" s="67">
        <f ca="1">IF(L186=Morgenmad,Tilmeldingsoversigt!$C$15," ")</f>
        <v>16.754098360655739</v>
      </c>
      <c r="N186" s="136" t="str">
        <f>IF(Tilmeldingsoversigt!$I$7="x",Morgenmad," ")</f>
        <v>Morgenmad</v>
      </c>
      <c r="O186" s="83">
        <f ca="1">IF(N186=Morgenmad,Tilmeldingsoversigt!$C$15," ")</f>
        <v>16.754098360655739</v>
      </c>
      <c r="P186" s="66"/>
    </row>
    <row r="187" spans="2:16" x14ac:dyDescent="0.25">
      <c r="B187" s="68"/>
      <c r="C187" s="69"/>
      <c r="D187" s="68"/>
      <c r="E187" s="69"/>
      <c r="F187" s="68"/>
      <c r="G187" s="69"/>
      <c r="H187" s="68"/>
      <c r="I187" s="69"/>
      <c r="J187" s="68" t="str">
        <f>IF(Tilmeldingsoversigt!$G$8="x",hovedret," ")</f>
        <v>Hovedret</v>
      </c>
      <c r="K187" s="69">
        <f ca="1">IF(J187=hovedret,Tilmeldingsoversigt!$C$16," ")</f>
        <v>55.016393442622949</v>
      </c>
      <c r="L187" s="68" t="str">
        <f>IF(Tilmeldingsoversigt!$H$8="x",hovedret," ")</f>
        <v>Hovedret</v>
      </c>
      <c r="M187" s="69">
        <f ca="1">IF(L187=hovedret,Tilmeldingsoversigt!$C$16," ")</f>
        <v>55.016393442622949</v>
      </c>
      <c r="N187" s="68" t="str">
        <f>IF(Tilmeldingsoversigt!$I$8="x",hovedret," ")</f>
        <v>Hovedret</v>
      </c>
      <c r="O187" s="70">
        <f ca="1">IF(N187=hovedret,Tilmeldingsoversigt!$C$16," ")</f>
        <v>55.016393442622949</v>
      </c>
      <c r="P187" s="66"/>
    </row>
    <row r="188" spans="2:16" x14ac:dyDescent="0.25">
      <c r="B188" s="68"/>
      <c r="C188" s="69"/>
      <c r="D188" s="68"/>
      <c r="E188" s="69"/>
      <c r="F188" s="68"/>
      <c r="G188" s="69"/>
      <c r="H188" s="68"/>
      <c r="I188" s="69"/>
      <c r="J188" s="68" t="str">
        <f>IF(Tilmeldingsoversigt!$G$9="x",Aftensmad," ")</f>
        <v>Aftensmad</v>
      </c>
      <c r="K188" s="69">
        <f ca="1">IF(J188=Aftensmad,Tilmeldingsoversigt!$C$17," ")</f>
        <v>27.540983606557376</v>
      </c>
      <c r="L188" s="68" t="str">
        <f>IF(Tilmeldingsoversigt!$H$9="x",Aftensmad," ")</f>
        <v>Aftensmad</v>
      </c>
      <c r="M188" s="69">
        <f ca="1">IF(L188=Aftensmad,Tilmeldingsoversigt!$C$17," ")</f>
        <v>27.540983606557376</v>
      </c>
      <c r="N188" s="68" t="str">
        <f>IF(Tilmeldingsoversigt!$I$9="x",Aftensmad," ")</f>
        <v>Aftensmad</v>
      </c>
      <c r="O188" s="70">
        <f ca="1">IF(N188=Aftensmad,Tilmeldingsoversigt!$C$17," ")</f>
        <v>27.540983606557376</v>
      </c>
      <c r="P188" s="66"/>
    </row>
    <row r="189" spans="2:16" x14ac:dyDescent="0.25">
      <c r="B189" s="68"/>
      <c r="C189" s="69"/>
      <c r="D189" s="68"/>
      <c r="E189" s="69"/>
      <c r="F189" s="68"/>
      <c r="G189" s="69"/>
      <c r="H189" s="68"/>
      <c r="I189" s="69"/>
      <c r="J189" s="68" t="str">
        <f>IF(Tilmeldingsoversigt!$G$10="x",biret," ")</f>
        <v>Biret</v>
      </c>
      <c r="K189" s="69">
        <f>IF(J189=biret,biretpris," ")</f>
        <v>0</v>
      </c>
      <c r="L189" s="68" t="str">
        <f>IF(Tilmeldingsoversigt!$H$10="x",biret," ")</f>
        <v>Biret</v>
      </c>
      <c r="M189" s="69">
        <f>IF(L189=biret,biretpris," ")</f>
        <v>0</v>
      </c>
      <c r="N189" s="68" t="str">
        <f>IF(Tilmeldingsoversigt!$I$10="x",biret," ")</f>
        <v>Biret</v>
      </c>
      <c r="O189" s="70">
        <f>IF(N189=biret,biretpris," ")</f>
        <v>0</v>
      </c>
      <c r="P189" s="66"/>
    </row>
    <row r="190" spans="2:16" x14ac:dyDescent="0.25">
      <c r="B190" s="71"/>
      <c r="C190" s="72"/>
      <c r="D190" s="71"/>
      <c r="E190" s="72"/>
      <c r="F190" s="71"/>
      <c r="G190" s="72"/>
      <c r="H190" s="71"/>
      <c r="I190" s="72"/>
      <c r="J190" s="71" t="str">
        <f>IF(Tilmeldingsoversigt!$C$11="x",mellemmåltid," ")</f>
        <v xml:space="preserve"> </v>
      </c>
      <c r="K190" s="72" t="str">
        <f>IF(J190=mellemmåltid,mellemmåltidspris," ")</f>
        <v xml:space="preserve"> </v>
      </c>
      <c r="L190" s="71" t="str">
        <f>IF(Tilmeldingsoversigt!$C$11="x",mellemmåltid," ")</f>
        <v xml:space="preserve"> </v>
      </c>
      <c r="M190" s="72" t="str">
        <f>IF(L190=mellemmåltid,mellemmåltidspris," ")</f>
        <v xml:space="preserve"> </v>
      </c>
      <c r="N190" s="71" t="str">
        <f>IF(Tilmeldingsoversigt!$C$11="x",mellemmåltid," ")</f>
        <v xml:space="preserve"> </v>
      </c>
      <c r="O190" s="73" t="str">
        <f>IF(N190=mellemmåltid,mellemmåltidspris," ")</f>
        <v xml:space="preserve"> </v>
      </c>
      <c r="P190" s="66"/>
    </row>
    <row r="191" spans="2:16" x14ac:dyDescent="0.25">
      <c r="B191" s="74" t="s">
        <v>44</v>
      </c>
      <c r="C191" s="11">
        <f>SUM(C186:C190)</f>
        <v>0</v>
      </c>
      <c r="D191" s="74"/>
      <c r="E191" s="11">
        <f>SUM(E186:E190)</f>
        <v>0</v>
      </c>
      <c r="F191" s="74"/>
      <c r="G191" s="11">
        <f>SUM(G186:G190)</f>
        <v>0</v>
      </c>
      <c r="H191" s="74"/>
      <c r="I191" s="11">
        <f>SUM(I186:I190)</f>
        <v>0</v>
      </c>
      <c r="J191" s="74"/>
      <c r="K191" s="11">
        <f ca="1">SUM(K186:K190)</f>
        <v>99.311475409836063</v>
      </c>
      <c r="L191" s="74"/>
      <c r="M191" s="11">
        <f ca="1">SUM(M186:M190)</f>
        <v>99.311475409836063</v>
      </c>
      <c r="N191" s="74"/>
      <c r="O191" s="12">
        <f ca="1">SUM(O186:O190)</f>
        <v>99.311475409836063</v>
      </c>
      <c r="P191" s="75">
        <f ca="1">SUMIF(B184:N184,"&lt;8",C191:O191)</f>
        <v>297.93442622950818</v>
      </c>
    </row>
    <row r="192" spans="2:16" x14ac:dyDescent="0.2">
      <c r="B192" s="76"/>
      <c r="C192" s="77"/>
      <c r="D192" s="77"/>
      <c r="E192" s="77"/>
      <c r="F192" s="77"/>
      <c r="G192" s="77"/>
      <c r="H192" s="77"/>
      <c r="I192" s="77"/>
      <c r="J192" s="77"/>
      <c r="K192" s="77"/>
      <c r="L192" s="77"/>
      <c r="M192" s="77"/>
      <c r="N192" s="77"/>
      <c r="O192" s="77"/>
      <c r="P192" s="76"/>
    </row>
    <row r="193" spans="2:16" ht="12.75" x14ac:dyDescent="0.25">
      <c r="B193" s="78">
        <f>N184+1</f>
        <v>8</v>
      </c>
      <c r="C193" s="79"/>
      <c r="D193" s="78">
        <f>B193+1</f>
        <v>9</v>
      </c>
      <c r="E193" s="79"/>
      <c r="F193" s="78">
        <f>D193+1</f>
        <v>10</v>
      </c>
      <c r="G193" s="79"/>
      <c r="H193" s="78">
        <f>F193+1</f>
        <v>11</v>
      </c>
      <c r="I193" s="79"/>
      <c r="J193" s="78">
        <f>H193+1</f>
        <v>12</v>
      </c>
      <c r="K193" s="79"/>
      <c r="L193" s="78">
        <f>J193+1</f>
        <v>13</v>
      </c>
      <c r="M193" s="79"/>
      <c r="N193" s="78">
        <f>L193+1</f>
        <v>14</v>
      </c>
      <c r="O193" s="79"/>
      <c r="P193" s="80"/>
    </row>
    <row r="194" spans="2:16" x14ac:dyDescent="0.25">
      <c r="B194" s="64" t="s">
        <v>42</v>
      </c>
      <c r="C194" s="81" t="s">
        <v>43</v>
      </c>
      <c r="D194" s="64" t="s">
        <v>42</v>
      </c>
      <c r="E194" s="81" t="s">
        <v>43</v>
      </c>
      <c r="F194" s="64" t="s">
        <v>42</v>
      </c>
      <c r="G194" s="81" t="s">
        <v>43</v>
      </c>
      <c r="H194" s="64" t="s">
        <v>42</v>
      </c>
      <c r="I194" s="81" t="s">
        <v>43</v>
      </c>
      <c r="J194" s="64" t="s">
        <v>42</v>
      </c>
      <c r="K194" s="81" t="s">
        <v>43</v>
      </c>
      <c r="L194" s="64" t="s">
        <v>42</v>
      </c>
      <c r="M194" s="81" t="s">
        <v>43</v>
      </c>
      <c r="N194" s="64" t="s">
        <v>42</v>
      </c>
      <c r="O194" s="82" t="s">
        <v>43</v>
      </c>
      <c r="P194" s="66"/>
    </row>
    <row r="195" spans="2:16" x14ac:dyDescent="0.25">
      <c r="B195" s="136" t="str">
        <f>IF(Tilmeldingsoversigt!$C$7="x",Morgenmad," ")</f>
        <v>Morgenmad</v>
      </c>
      <c r="C195" s="67">
        <f ca="1">IF(B195=Morgenmad,Tilmeldingsoversigt!$C$15," ")</f>
        <v>16.754098360655739</v>
      </c>
      <c r="D195" s="136" t="str">
        <f>IF(Tilmeldingsoversigt!$D$7="x",Morgenmad," ")</f>
        <v>Morgenmad</v>
      </c>
      <c r="E195" s="67">
        <f ca="1">IF(D195=Morgenmad,Tilmeldingsoversigt!$C$15," ")</f>
        <v>16.754098360655739</v>
      </c>
      <c r="F195" s="136" t="str">
        <f>IF(Tilmeldingsoversigt!$E$7="x",Morgenmad," ")</f>
        <v>Morgenmad</v>
      </c>
      <c r="G195" s="67">
        <f ca="1">IF(F195=Morgenmad,Tilmeldingsoversigt!$C$15," ")</f>
        <v>16.754098360655739</v>
      </c>
      <c r="H195" s="136" t="str">
        <f>IF(Tilmeldingsoversigt!$F$7="x",Morgenmad," ")</f>
        <v>Morgenmad</v>
      </c>
      <c r="I195" s="67">
        <f ca="1">IF(H195=Morgenmad,Tilmeldingsoversigt!$C$15," ")</f>
        <v>16.754098360655739</v>
      </c>
      <c r="J195" s="136" t="str">
        <f>IF(Tilmeldingsoversigt!$G$7="x",Morgenmad," ")</f>
        <v>Morgenmad</v>
      </c>
      <c r="K195" s="67">
        <f ca="1">IF(J195=Morgenmad,Tilmeldingsoversigt!$C$15," ")</f>
        <v>16.754098360655739</v>
      </c>
      <c r="L195" s="136" t="str">
        <f>IF(Tilmeldingsoversigt!$H$7="x",Morgenmad," ")</f>
        <v>Morgenmad</v>
      </c>
      <c r="M195" s="67">
        <f ca="1">IF(L195=Morgenmad,Tilmeldingsoversigt!$C$15," ")</f>
        <v>16.754098360655739</v>
      </c>
      <c r="N195" s="136" t="str">
        <f>IF(Tilmeldingsoversigt!$I$7="x",Morgenmad," ")</f>
        <v>Morgenmad</v>
      </c>
      <c r="O195" s="83">
        <f ca="1">IF(N195=Morgenmad,Tilmeldingsoversigt!$C$15," ")</f>
        <v>16.754098360655739</v>
      </c>
      <c r="P195" s="66"/>
    </row>
    <row r="196" spans="2:16" x14ac:dyDescent="0.25">
      <c r="B196" s="68" t="str">
        <f>IF(Tilmeldingsoversigt!$C$8="x",hovedret," ")</f>
        <v>Hovedret</v>
      </c>
      <c r="C196" s="69">
        <f ca="1">IF(B196=hovedret,Tilmeldingsoversigt!$C$16," ")</f>
        <v>55.016393442622949</v>
      </c>
      <c r="D196" s="68" t="str">
        <f>IF(Tilmeldingsoversigt!$D$8="x",hovedret," ")</f>
        <v>Hovedret</v>
      </c>
      <c r="E196" s="69">
        <f ca="1">IF(D196=hovedret,Tilmeldingsoversigt!$C$16," ")</f>
        <v>55.016393442622949</v>
      </c>
      <c r="F196" s="68" t="str">
        <f>IF(Tilmeldingsoversigt!$E$8="x",hovedret," ")</f>
        <v>Hovedret</v>
      </c>
      <c r="G196" s="69">
        <f ca="1">IF(F196=hovedret,Tilmeldingsoversigt!$C$16," ")</f>
        <v>55.016393442622949</v>
      </c>
      <c r="H196" s="68" t="str">
        <f>IF(Tilmeldingsoversigt!$F$8="x",hovedret," ")</f>
        <v>Hovedret</v>
      </c>
      <c r="I196" s="69">
        <f ca="1">IF(H196=hovedret,Tilmeldingsoversigt!$C$16," ")</f>
        <v>55.016393442622949</v>
      </c>
      <c r="J196" s="68" t="str">
        <f>IF(Tilmeldingsoversigt!$G$8="x",hovedret," ")</f>
        <v>Hovedret</v>
      </c>
      <c r="K196" s="69">
        <f ca="1">IF(J196=hovedret,Tilmeldingsoversigt!$C$16," ")</f>
        <v>55.016393442622949</v>
      </c>
      <c r="L196" s="68" t="str">
        <f>IF(Tilmeldingsoversigt!$H$8="x",hovedret," ")</f>
        <v>Hovedret</v>
      </c>
      <c r="M196" s="69">
        <f ca="1">IF(L196=hovedret,Tilmeldingsoversigt!$C$16," ")</f>
        <v>55.016393442622949</v>
      </c>
      <c r="N196" s="68" t="str">
        <f>IF(Tilmeldingsoversigt!$I$8="x",hovedret," ")</f>
        <v>Hovedret</v>
      </c>
      <c r="O196" s="70">
        <f ca="1">IF(N196=hovedret,Tilmeldingsoversigt!$C$16," ")</f>
        <v>55.016393442622949</v>
      </c>
      <c r="P196" s="66"/>
    </row>
    <row r="197" spans="2:16" x14ac:dyDescent="0.25">
      <c r="B197" s="68" t="str">
        <f>IF(Tilmeldingsoversigt!$C$9="x",Aftensmad," ")</f>
        <v>Aftensmad</v>
      </c>
      <c r="C197" s="69">
        <f ca="1">IF(B197=Aftensmad,Tilmeldingsoversigt!$C$17," ")</f>
        <v>27.540983606557376</v>
      </c>
      <c r="D197" s="68" t="str">
        <f>IF(Tilmeldingsoversigt!$D$9="x",Aftensmad," ")</f>
        <v>Aftensmad</v>
      </c>
      <c r="E197" s="69">
        <f ca="1">IF(D197=Aftensmad,Tilmeldingsoversigt!$C$17," ")</f>
        <v>27.540983606557376</v>
      </c>
      <c r="F197" s="68" t="str">
        <f>IF(Tilmeldingsoversigt!$E$9="x",Aftensmad," ")</f>
        <v>Aftensmad</v>
      </c>
      <c r="G197" s="69">
        <f ca="1">IF(F197=Aftensmad,Tilmeldingsoversigt!$C$17," ")</f>
        <v>27.540983606557376</v>
      </c>
      <c r="H197" s="68" t="str">
        <f>IF(Tilmeldingsoversigt!$F$9="x",Aftensmad," ")</f>
        <v>Aftensmad</v>
      </c>
      <c r="I197" s="69">
        <f ca="1">IF(H197=Aftensmad,Tilmeldingsoversigt!$C$17," ")</f>
        <v>27.540983606557376</v>
      </c>
      <c r="J197" s="68" t="str">
        <f>IF(Tilmeldingsoversigt!$G$9="x",Aftensmad," ")</f>
        <v>Aftensmad</v>
      </c>
      <c r="K197" s="69">
        <f ca="1">IF(J197=Aftensmad,Tilmeldingsoversigt!$C$17," ")</f>
        <v>27.540983606557376</v>
      </c>
      <c r="L197" s="68" t="str">
        <f>IF(Tilmeldingsoversigt!$H$9="x",Aftensmad," ")</f>
        <v>Aftensmad</v>
      </c>
      <c r="M197" s="69">
        <f ca="1">IF(L197=Aftensmad,Tilmeldingsoversigt!$C$17," ")</f>
        <v>27.540983606557376</v>
      </c>
      <c r="N197" s="68" t="str">
        <f>IF(Tilmeldingsoversigt!$I$9="x",Aftensmad," ")</f>
        <v>Aftensmad</v>
      </c>
      <c r="O197" s="70">
        <f ca="1">IF(N197=Aftensmad,Tilmeldingsoversigt!$C$17," ")</f>
        <v>27.540983606557376</v>
      </c>
      <c r="P197" s="66"/>
    </row>
    <row r="198" spans="2:16" x14ac:dyDescent="0.25">
      <c r="B198" s="68" t="str">
        <f>IF(Tilmeldingsoversigt!$C$10="x",biret," ")</f>
        <v>Biret</v>
      </c>
      <c r="C198" s="69">
        <f>IF(B198=biret,biretpris," ")</f>
        <v>0</v>
      </c>
      <c r="D198" s="68" t="str">
        <f>IF(Tilmeldingsoversigt!$D$10="x",biret," ")</f>
        <v>Biret</v>
      </c>
      <c r="E198" s="69">
        <f>IF(D198=biret,biretpris," ")</f>
        <v>0</v>
      </c>
      <c r="F198" s="68" t="str">
        <f>IF(Tilmeldingsoversigt!$E$10="x",biret," ")</f>
        <v>Biret</v>
      </c>
      <c r="G198" s="69">
        <f>IF(F198=biret,biretpris," ")</f>
        <v>0</v>
      </c>
      <c r="H198" s="68" t="str">
        <f>IF(Tilmeldingsoversigt!$F$10="x",biret," ")</f>
        <v>Biret</v>
      </c>
      <c r="I198" s="69">
        <f>IF(H198=biret,biretpris," ")</f>
        <v>0</v>
      </c>
      <c r="J198" s="68" t="str">
        <f>IF(Tilmeldingsoversigt!$G$10="x",biret," ")</f>
        <v>Biret</v>
      </c>
      <c r="K198" s="69">
        <f>IF(J198=biret,biretpris," ")</f>
        <v>0</v>
      </c>
      <c r="L198" s="68" t="str">
        <f>IF(Tilmeldingsoversigt!$H$10="x",biret," ")</f>
        <v>Biret</v>
      </c>
      <c r="M198" s="69">
        <f>IF(L198=biret,biretpris," ")</f>
        <v>0</v>
      </c>
      <c r="N198" s="68" t="str">
        <f>IF(Tilmeldingsoversigt!$I$10="x",biret," ")</f>
        <v>Biret</v>
      </c>
      <c r="O198" s="70">
        <f>IF(N198=biret,biretpris," ")</f>
        <v>0</v>
      </c>
      <c r="P198" s="66"/>
    </row>
    <row r="199" spans="2:16" x14ac:dyDescent="0.25">
      <c r="B199" s="71" t="str">
        <f>IF(Tilmeldingsoversigt!$C$11="x",mellemmåltid," ")</f>
        <v xml:space="preserve"> </v>
      </c>
      <c r="C199" s="72" t="str">
        <f>IF(B199=mellemmåltid,mellemmåltidspris," ")</f>
        <v xml:space="preserve"> </v>
      </c>
      <c r="D199" s="71" t="str">
        <f>IF(Tilmeldingsoversigt!$C$11="x",mellemmåltid," ")</f>
        <v xml:space="preserve"> </v>
      </c>
      <c r="E199" s="72" t="str">
        <f>IF(D199=mellemmåltid,mellemmåltidspris," ")</f>
        <v xml:space="preserve"> </v>
      </c>
      <c r="F199" s="71" t="str">
        <f>IF(Tilmeldingsoversigt!$C$11="x",mellemmåltid," ")</f>
        <v xml:space="preserve"> </v>
      </c>
      <c r="G199" s="72" t="str">
        <f>IF(F199=mellemmåltid,mellemmåltidspris," ")</f>
        <v xml:space="preserve"> </v>
      </c>
      <c r="H199" s="71" t="str">
        <f>IF(Tilmeldingsoversigt!$C$11="x",mellemmåltid," ")</f>
        <v xml:space="preserve"> </v>
      </c>
      <c r="I199" s="72" t="str">
        <f>IF(H199=mellemmåltid,mellemmåltidspris," ")</f>
        <v xml:space="preserve"> </v>
      </c>
      <c r="J199" s="71" t="str">
        <f>IF(Tilmeldingsoversigt!$C$11="x",mellemmåltid," ")</f>
        <v xml:space="preserve"> </v>
      </c>
      <c r="K199" s="72" t="str">
        <f>IF(J199=mellemmåltid,mellemmåltidspris," ")</f>
        <v xml:space="preserve"> </v>
      </c>
      <c r="L199" s="71" t="str">
        <f>IF(Tilmeldingsoversigt!$C$11="x",mellemmåltid," ")</f>
        <v xml:space="preserve"> </v>
      </c>
      <c r="M199" s="72" t="str">
        <f>IF(L199=mellemmåltid,mellemmåltidspris," ")</f>
        <v xml:space="preserve"> </v>
      </c>
      <c r="N199" s="71" t="str">
        <f>IF(Tilmeldingsoversigt!$C$11="x",mellemmåltid," ")</f>
        <v xml:space="preserve"> </v>
      </c>
      <c r="O199" s="73" t="str">
        <f>IF(N199=mellemmåltid,mellemmåltidspris," ")</f>
        <v xml:space="preserve"> </v>
      </c>
      <c r="P199" s="66"/>
    </row>
    <row r="200" spans="2:16" x14ac:dyDescent="0.25">
      <c r="B200" s="74" t="s">
        <v>44</v>
      </c>
      <c r="C200" s="11">
        <f ca="1">SUM(C195:C199)</f>
        <v>99.311475409836063</v>
      </c>
      <c r="D200" s="74"/>
      <c r="E200" s="11">
        <f ca="1">SUM(E195:E199)</f>
        <v>99.311475409836063</v>
      </c>
      <c r="F200" s="74"/>
      <c r="G200" s="11">
        <f ca="1">SUM(G195:G199)</f>
        <v>99.311475409836063</v>
      </c>
      <c r="H200" s="74"/>
      <c r="I200" s="11">
        <f ca="1">SUM(I195:I199)</f>
        <v>99.311475409836063</v>
      </c>
      <c r="J200" s="74"/>
      <c r="K200" s="11">
        <f ca="1">SUM(K195:K199)</f>
        <v>99.311475409836063</v>
      </c>
      <c r="L200" s="74"/>
      <c r="M200" s="11">
        <f ca="1">SUM(M195:M199)</f>
        <v>99.311475409836063</v>
      </c>
      <c r="N200" s="74"/>
      <c r="O200" s="12">
        <f ca="1">SUM(O195:O199)</f>
        <v>99.311475409836063</v>
      </c>
      <c r="P200" s="75">
        <f ca="1">SUM(C200,E200,G200,I200,K200,M200,O200)</f>
        <v>695.18032786885237</v>
      </c>
    </row>
    <row r="201" spans="2:16" x14ac:dyDescent="0.2">
      <c r="B201" s="76"/>
      <c r="C201" s="77"/>
      <c r="D201" s="77"/>
      <c r="E201" s="77"/>
      <c r="F201" s="77"/>
      <c r="G201" s="77"/>
      <c r="H201" s="77"/>
      <c r="I201" s="77"/>
      <c r="J201" s="77"/>
      <c r="K201" s="77"/>
      <c r="L201" s="77"/>
      <c r="M201" s="77"/>
      <c r="N201" s="77"/>
      <c r="O201" s="77"/>
      <c r="P201" s="76"/>
    </row>
    <row r="202" spans="2:16" ht="12.75" x14ac:dyDescent="0.25">
      <c r="B202" s="78">
        <f>N193+1</f>
        <v>15</v>
      </c>
      <c r="C202" s="79"/>
      <c r="D202" s="78">
        <f>B202+1</f>
        <v>16</v>
      </c>
      <c r="E202" s="79"/>
      <c r="F202" s="78">
        <f>D202+1</f>
        <v>17</v>
      </c>
      <c r="G202" s="79"/>
      <c r="H202" s="78">
        <f>F202+1</f>
        <v>18</v>
      </c>
      <c r="I202" s="79"/>
      <c r="J202" s="78">
        <f>H202+1</f>
        <v>19</v>
      </c>
      <c r="K202" s="79"/>
      <c r="L202" s="78">
        <f>J202+1</f>
        <v>20</v>
      </c>
      <c r="M202" s="79"/>
      <c r="N202" s="78">
        <f>L202+1</f>
        <v>21</v>
      </c>
      <c r="O202" s="79"/>
      <c r="P202" s="80"/>
    </row>
    <row r="203" spans="2:16" x14ac:dyDescent="0.25">
      <c r="B203" s="64" t="s">
        <v>42</v>
      </c>
      <c r="C203" s="81" t="s">
        <v>43</v>
      </c>
      <c r="D203" s="64" t="s">
        <v>42</v>
      </c>
      <c r="E203" s="81" t="s">
        <v>43</v>
      </c>
      <c r="F203" s="64" t="s">
        <v>42</v>
      </c>
      <c r="G203" s="81" t="s">
        <v>43</v>
      </c>
      <c r="H203" s="64" t="s">
        <v>42</v>
      </c>
      <c r="I203" s="81" t="s">
        <v>43</v>
      </c>
      <c r="J203" s="64" t="s">
        <v>42</v>
      </c>
      <c r="K203" s="81" t="s">
        <v>43</v>
      </c>
      <c r="L203" s="64" t="s">
        <v>42</v>
      </c>
      <c r="M203" s="81" t="s">
        <v>43</v>
      </c>
      <c r="N203" s="64" t="s">
        <v>42</v>
      </c>
      <c r="O203" s="82" t="s">
        <v>43</v>
      </c>
      <c r="P203" s="66"/>
    </row>
    <row r="204" spans="2:16" x14ac:dyDescent="0.25">
      <c r="B204" s="136" t="str">
        <f>IF(Tilmeldingsoversigt!$C$7="x",Morgenmad," ")</f>
        <v>Morgenmad</v>
      </c>
      <c r="C204" s="67">
        <f ca="1">IF(B204=Morgenmad,Tilmeldingsoversigt!$C$15," ")</f>
        <v>16.754098360655739</v>
      </c>
      <c r="D204" s="136" t="str">
        <f>IF(Tilmeldingsoversigt!$D$7="x",Morgenmad," ")</f>
        <v>Morgenmad</v>
      </c>
      <c r="E204" s="67">
        <f ca="1">IF(D204=Morgenmad,Tilmeldingsoversigt!$C$15," ")</f>
        <v>16.754098360655739</v>
      </c>
      <c r="F204" s="136" t="str">
        <f>IF(Tilmeldingsoversigt!$E$7="x",Morgenmad," ")</f>
        <v>Morgenmad</v>
      </c>
      <c r="G204" s="67">
        <f ca="1">IF(F204=Morgenmad,Tilmeldingsoversigt!$C$15," ")</f>
        <v>16.754098360655739</v>
      </c>
      <c r="H204" s="136" t="str">
        <f>IF(Tilmeldingsoversigt!$F$7="x",Morgenmad," ")</f>
        <v>Morgenmad</v>
      </c>
      <c r="I204" s="67">
        <f ca="1">IF(H204=Morgenmad,Tilmeldingsoversigt!$C$15," ")</f>
        <v>16.754098360655739</v>
      </c>
      <c r="J204" s="136" t="str">
        <f>IF(Tilmeldingsoversigt!$G$7="x",Morgenmad," ")</f>
        <v>Morgenmad</v>
      </c>
      <c r="K204" s="67">
        <f ca="1">IF(J204=Morgenmad,Tilmeldingsoversigt!$C$15," ")</f>
        <v>16.754098360655739</v>
      </c>
      <c r="L204" s="136" t="str">
        <f>IF(Tilmeldingsoversigt!$H$7="x",Morgenmad," ")</f>
        <v>Morgenmad</v>
      </c>
      <c r="M204" s="67">
        <f ca="1">IF(L204=Morgenmad,Tilmeldingsoversigt!$C$15," ")</f>
        <v>16.754098360655739</v>
      </c>
      <c r="N204" s="136" t="str">
        <f>IF(Tilmeldingsoversigt!$I$7="x",Morgenmad," ")</f>
        <v>Morgenmad</v>
      </c>
      <c r="O204" s="83">
        <f ca="1">IF(N204=Morgenmad,Tilmeldingsoversigt!$C$15," ")</f>
        <v>16.754098360655739</v>
      </c>
      <c r="P204" s="66"/>
    </row>
    <row r="205" spans="2:16" x14ac:dyDescent="0.25">
      <c r="B205" s="68" t="str">
        <f>IF(Tilmeldingsoversigt!$C$8="x",hovedret," ")</f>
        <v>Hovedret</v>
      </c>
      <c r="C205" s="69">
        <f ca="1">IF(B205=hovedret,Tilmeldingsoversigt!$C$16," ")</f>
        <v>55.016393442622949</v>
      </c>
      <c r="D205" s="68" t="str">
        <f>IF(Tilmeldingsoversigt!$D$8="x",hovedret," ")</f>
        <v>Hovedret</v>
      </c>
      <c r="E205" s="69">
        <f ca="1">IF(D205=hovedret,Tilmeldingsoversigt!$C$16," ")</f>
        <v>55.016393442622949</v>
      </c>
      <c r="F205" s="68" t="str">
        <f>IF(Tilmeldingsoversigt!$E$8="x",hovedret," ")</f>
        <v>Hovedret</v>
      </c>
      <c r="G205" s="69">
        <f ca="1">IF(F205=hovedret,Tilmeldingsoversigt!$C$16," ")</f>
        <v>55.016393442622949</v>
      </c>
      <c r="H205" s="68" t="str">
        <f>IF(Tilmeldingsoversigt!$F$8="x",hovedret," ")</f>
        <v>Hovedret</v>
      </c>
      <c r="I205" s="69">
        <f ca="1">IF(H205=hovedret,Tilmeldingsoversigt!$C$16," ")</f>
        <v>55.016393442622949</v>
      </c>
      <c r="J205" s="68" t="str">
        <f>IF(Tilmeldingsoversigt!$G$8="x",hovedret," ")</f>
        <v>Hovedret</v>
      </c>
      <c r="K205" s="69">
        <f ca="1">IF(J205=hovedret,Tilmeldingsoversigt!$C$16," ")</f>
        <v>55.016393442622949</v>
      </c>
      <c r="L205" s="68" t="str">
        <f>IF(Tilmeldingsoversigt!$H$8="x",hovedret," ")</f>
        <v>Hovedret</v>
      </c>
      <c r="M205" s="69">
        <f ca="1">IF(L205=hovedret,Tilmeldingsoversigt!$C$16," ")</f>
        <v>55.016393442622949</v>
      </c>
      <c r="N205" s="68" t="str">
        <f>IF(Tilmeldingsoversigt!$I$8="x",hovedret," ")</f>
        <v>Hovedret</v>
      </c>
      <c r="O205" s="70">
        <f ca="1">IF(N205=hovedret,Tilmeldingsoversigt!$C$16," ")</f>
        <v>55.016393442622949</v>
      </c>
      <c r="P205" s="66"/>
    </row>
    <row r="206" spans="2:16" x14ac:dyDescent="0.25">
      <c r="B206" s="68" t="str">
        <f>IF(Tilmeldingsoversigt!$C$9="x",Aftensmad," ")</f>
        <v>Aftensmad</v>
      </c>
      <c r="C206" s="69">
        <f ca="1">IF(B206=Aftensmad,Tilmeldingsoversigt!$C$17," ")</f>
        <v>27.540983606557376</v>
      </c>
      <c r="D206" s="68" t="str">
        <f>IF(Tilmeldingsoversigt!$D$9="x",Aftensmad," ")</f>
        <v>Aftensmad</v>
      </c>
      <c r="E206" s="69">
        <f ca="1">IF(D206=Aftensmad,Tilmeldingsoversigt!$C$17," ")</f>
        <v>27.540983606557376</v>
      </c>
      <c r="F206" s="68" t="str">
        <f>IF(Tilmeldingsoversigt!$E$9="x",Aftensmad," ")</f>
        <v>Aftensmad</v>
      </c>
      <c r="G206" s="69">
        <f ca="1">IF(F206=Aftensmad,Tilmeldingsoversigt!$C$17," ")</f>
        <v>27.540983606557376</v>
      </c>
      <c r="H206" s="68" t="str">
        <f>IF(Tilmeldingsoversigt!$F$9="x",Aftensmad," ")</f>
        <v>Aftensmad</v>
      </c>
      <c r="I206" s="69">
        <f ca="1">IF(H206=Aftensmad,Tilmeldingsoversigt!$C$17," ")</f>
        <v>27.540983606557376</v>
      </c>
      <c r="J206" s="68" t="str">
        <f>IF(Tilmeldingsoversigt!$G$9="x",Aftensmad," ")</f>
        <v>Aftensmad</v>
      </c>
      <c r="K206" s="69">
        <f ca="1">IF(J206=Aftensmad,Tilmeldingsoversigt!$C$17," ")</f>
        <v>27.540983606557376</v>
      </c>
      <c r="L206" s="68" t="str">
        <f>IF(Tilmeldingsoversigt!$H$9="x",Aftensmad," ")</f>
        <v>Aftensmad</v>
      </c>
      <c r="M206" s="69">
        <f ca="1">IF(L206=Aftensmad,Tilmeldingsoversigt!$C$17," ")</f>
        <v>27.540983606557376</v>
      </c>
      <c r="N206" s="68" t="str">
        <f>IF(Tilmeldingsoversigt!$I$9="x",Aftensmad," ")</f>
        <v>Aftensmad</v>
      </c>
      <c r="O206" s="70">
        <f ca="1">IF(N206=Aftensmad,Tilmeldingsoversigt!$C$17," ")</f>
        <v>27.540983606557376</v>
      </c>
      <c r="P206" s="66"/>
    </row>
    <row r="207" spans="2:16" x14ac:dyDescent="0.25">
      <c r="B207" s="68" t="str">
        <f>IF(Tilmeldingsoversigt!$C$10="x",biret," ")</f>
        <v>Biret</v>
      </c>
      <c r="C207" s="69">
        <f>IF(B207=biret,biretpris," ")</f>
        <v>0</v>
      </c>
      <c r="D207" s="68" t="str">
        <f>IF(Tilmeldingsoversigt!$D$10="x",biret," ")</f>
        <v>Biret</v>
      </c>
      <c r="E207" s="69">
        <f>IF(D207=biret,biretpris," ")</f>
        <v>0</v>
      </c>
      <c r="F207" s="68" t="str">
        <f>IF(Tilmeldingsoversigt!$E$10="x",biret," ")</f>
        <v>Biret</v>
      </c>
      <c r="G207" s="69">
        <f>IF(F207=biret,biretpris," ")</f>
        <v>0</v>
      </c>
      <c r="H207" s="68" t="str">
        <f>IF(Tilmeldingsoversigt!$F$10="x",biret," ")</f>
        <v>Biret</v>
      </c>
      <c r="I207" s="69">
        <f>IF(H207=biret,biretpris," ")</f>
        <v>0</v>
      </c>
      <c r="J207" s="68" t="str">
        <f>IF(Tilmeldingsoversigt!$G$10="x",biret," ")</f>
        <v>Biret</v>
      </c>
      <c r="K207" s="69">
        <f>IF(J207=biret,biretpris," ")</f>
        <v>0</v>
      </c>
      <c r="L207" s="68" t="str">
        <f>IF(Tilmeldingsoversigt!$H$10="x",biret," ")</f>
        <v>Biret</v>
      </c>
      <c r="M207" s="69">
        <f>IF(L207=biret,biretpris," ")</f>
        <v>0</v>
      </c>
      <c r="N207" s="68" t="str">
        <f>IF(Tilmeldingsoversigt!$I$10="x",biret," ")</f>
        <v>Biret</v>
      </c>
      <c r="O207" s="70">
        <f>IF(N207=biret,biretpris," ")</f>
        <v>0</v>
      </c>
      <c r="P207" s="66"/>
    </row>
    <row r="208" spans="2:16" x14ac:dyDescent="0.25">
      <c r="B208" s="71" t="str">
        <f>IF(Tilmeldingsoversigt!$C$11="x",mellemmåltid," ")</f>
        <v xml:space="preserve"> </v>
      </c>
      <c r="C208" s="72" t="str">
        <f>IF(B208=mellemmåltid,mellemmåltidspris," ")</f>
        <v xml:space="preserve"> </v>
      </c>
      <c r="D208" s="71" t="str">
        <f>IF(Tilmeldingsoversigt!$C$11="x",mellemmåltid," ")</f>
        <v xml:space="preserve"> </v>
      </c>
      <c r="E208" s="72" t="str">
        <f>IF(D208=mellemmåltid,mellemmåltidspris," ")</f>
        <v xml:space="preserve"> </v>
      </c>
      <c r="F208" s="71" t="str">
        <f>IF(Tilmeldingsoversigt!$C$11="x",mellemmåltid," ")</f>
        <v xml:space="preserve"> </v>
      </c>
      <c r="G208" s="72" t="str">
        <f>IF(F208=mellemmåltid,mellemmåltidspris," ")</f>
        <v xml:space="preserve"> </v>
      </c>
      <c r="H208" s="71" t="str">
        <f>IF(Tilmeldingsoversigt!$C$11="x",mellemmåltid," ")</f>
        <v xml:space="preserve"> </v>
      </c>
      <c r="I208" s="72" t="str">
        <f>IF(H208=mellemmåltid,mellemmåltidspris," ")</f>
        <v xml:space="preserve"> </v>
      </c>
      <c r="J208" s="71" t="str">
        <f>IF(Tilmeldingsoversigt!$C$11="x",mellemmåltid," ")</f>
        <v xml:space="preserve"> </v>
      </c>
      <c r="K208" s="72" t="str">
        <f>IF(J208=mellemmåltid,mellemmåltidspris," ")</f>
        <v xml:space="preserve"> </v>
      </c>
      <c r="L208" s="71" t="str">
        <f>IF(Tilmeldingsoversigt!$C$11="x",mellemmåltid," ")</f>
        <v xml:space="preserve"> </v>
      </c>
      <c r="M208" s="72" t="str">
        <f>IF(L208=mellemmåltid,mellemmåltidspris," ")</f>
        <v xml:space="preserve"> </v>
      </c>
      <c r="N208" s="71" t="str">
        <f>IF(Tilmeldingsoversigt!$C$11="x",mellemmåltid," ")</f>
        <v xml:space="preserve"> </v>
      </c>
      <c r="O208" s="73" t="str">
        <f>IF(N208=mellemmåltid,mellemmåltidspris," ")</f>
        <v xml:space="preserve"> </v>
      </c>
      <c r="P208" s="66"/>
    </row>
    <row r="209" spans="2:16" x14ac:dyDescent="0.25">
      <c r="B209" s="84" t="s">
        <v>44</v>
      </c>
      <c r="C209" s="11">
        <f ca="1">SUM(C204:C208)</f>
        <v>99.311475409836063</v>
      </c>
      <c r="D209" s="74"/>
      <c r="E209" s="11">
        <f ca="1">SUM(E204:E208)</f>
        <v>99.311475409836063</v>
      </c>
      <c r="F209" s="74"/>
      <c r="G209" s="11">
        <f ca="1">SUM(G204:G208)</f>
        <v>99.311475409836063</v>
      </c>
      <c r="H209" s="74"/>
      <c r="I209" s="11">
        <f ca="1">SUM(I204:I208)</f>
        <v>99.311475409836063</v>
      </c>
      <c r="J209" s="74"/>
      <c r="K209" s="11">
        <f ca="1">SUM(K204:K208)</f>
        <v>99.311475409836063</v>
      </c>
      <c r="L209" s="74"/>
      <c r="M209" s="11">
        <f ca="1">SUM(M204:M208)</f>
        <v>99.311475409836063</v>
      </c>
      <c r="N209" s="74"/>
      <c r="O209" s="12">
        <f ca="1">SUM(O204:O208)</f>
        <v>99.311475409836063</v>
      </c>
      <c r="P209" s="75">
        <f ca="1">SUM(C209,E209,G209,I209,K209,M209,O209)</f>
        <v>695.18032786885237</v>
      </c>
    </row>
    <row r="210" spans="2:16" x14ac:dyDescent="0.2">
      <c r="B210" s="76"/>
      <c r="C210" s="77"/>
      <c r="D210" s="77"/>
      <c r="E210" s="77"/>
      <c r="F210" s="77"/>
      <c r="G210" s="77"/>
      <c r="H210" s="77"/>
      <c r="I210" s="77"/>
      <c r="J210" s="77"/>
      <c r="K210" s="77"/>
      <c r="L210" s="77"/>
      <c r="M210" s="77"/>
      <c r="N210" s="77"/>
      <c r="O210" s="77"/>
      <c r="P210" s="76"/>
    </row>
    <row r="211" spans="2:16" ht="12.75" x14ac:dyDescent="0.25">
      <c r="B211" s="78">
        <f>N202+1</f>
        <v>22</v>
      </c>
      <c r="C211" s="79"/>
      <c r="D211" s="78">
        <f>B211+1</f>
        <v>23</v>
      </c>
      <c r="E211" s="79"/>
      <c r="F211" s="78">
        <f>D211+1</f>
        <v>24</v>
      </c>
      <c r="G211" s="79"/>
      <c r="H211" s="78">
        <f>F211+1</f>
        <v>25</v>
      </c>
      <c r="I211" s="79"/>
      <c r="J211" s="78">
        <f>H211+1</f>
        <v>26</v>
      </c>
      <c r="K211" s="79"/>
      <c r="L211" s="78">
        <f>J211+1</f>
        <v>27</v>
      </c>
      <c r="M211" s="79"/>
      <c r="N211" s="78">
        <f>L211+1</f>
        <v>28</v>
      </c>
      <c r="O211" s="79"/>
      <c r="P211" s="80"/>
    </row>
    <row r="212" spans="2:16" x14ac:dyDescent="0.25">
      <c r="B212" s="64" t="s">
        <v>42</v>
      </c>
      <c r="C212" s="81" t="s">
        <v>43</v>
      </c>
      <c r="D212" s="64" t="s">
        <v>42</v>
      </c>
      <c r="E212" s="81" t="s">
        <v>43</v>
      </c>
      <c r="F212" s="64" t="s">
        <v>42</v>
      </c>
      <c r="G212" s="81" t="s">
        <v>43</v>
      </c>
      <c r="H212" s="64" t="s">
        <v>42</v>
      </c>
      <c r="I212" s="81" t="s">
        <v>43</v>
      </c>
      <c r="J212" s="64" t="s">
        <v>42</v>
      </c>
      <c r="K212" s="81" t="s">
        <v>43</v>
      </c>
      <c r="L212" s="64" t="s">
        <v>42</v>
      </c>
      <c r="M212" s="81" t="s">
        <v>43</v>
      </c>
      <c r="N212" s="64" t="s">
        <v>42</v>
      </c>
      <c r="O212" s="82" t="s">
        <v>43</v>
      </c>
      <c r="P212" s="66"/>
    </row>
    <row r="213" spans="2:16" x14ac:dyDescent="0.25">
      <c r="B213" s="136" t="str">
        <f>IF(Tilmeldingsoversigt!$C$7="x",Morgenmad," ")</f>
        <v>Morgenmad</v>
      </c>
      <c r="C213" s="67">
        <f ca="1">IF(B213=Morgenmad,Tilmeldingsoversigt!$C$15," ")</f>
        <v>16.754098360655739</v>
      </c>
      <c r="D213" s="136" t="str">
        <f>IF(Tilmeldingsoversigt!$D$7="x",Morgenmad," ")</f>
        <v>Morgenmad</v>
      </c>
      <c r="E213" s="67">
        <f ca="1">IF(D213=Morgenmad,Tilmeldingsoversigt!$C$15," ")</f>
        <v>16.754098360655739</v>
      </c>
      <c r="F213" s="136" t="str">
        <f>IF(Tilmeldingsoversigt!$E$7="x",Morgenmad," ")</f>
        <v>Morgenmad</v>
      </c>
      <c r="G213" s="67">
        <f ca="1">IF(F213=Morgenmad,Tilmeldingsoversigt!$C$15," ")</f>
        <v>16.754098360655739</v>
      </c>
      <c r="H213" s="136" t="str">
        <f>IF(Tilmeldingsoversigt!$F$7="x",Morgenmad," ")</f>
        <v>Morgenmad</v>
      </c>
      <c r="I213" s="67">
        <f ca="1">IF(H213=Morgenmad,Tilmeldingsoversigt!$C$15," ")</f>
        <v>16.754098360655739</v>
      </c>
      <c r="J213" s="136" t="str">
        <f>IF(Tilmeldingsoversigt!$G$7="x",Morgenmad," ")</f>
        <v>Morgenmad</v>
      </c>
      <c r="K213" s="67">
        <f ca="1">IF(J213=Morgenmad,Tilmeldingsoversigt!$C$15," ")</f>
        <v>16.754098360655739</v>
      </c>
      <c r="L213" s="136" t="str">
        <f>IF(Tilmeldingsoversigt!$H$7="x",Morgenmad," ")</f>
        <v>Morgenmad</v>
      </c>
      <c r="M213" s="67">
        <f ca="1">IF(L213=Morgenmad,Tilmeldingsoversigt!$C$15," ")</f>
        <v>16.754098360655739</v>
      </c>
      <c r="N213" s="136" t="str">
        <f>IF(Tilmeldingsoversigt!$I$7="x",Morgenmad," ")</f>
        <v>Morgenmad</v>
      </c>
      <c r="O213" s="83">
        <f ca="1">IF(N213=Morgenmad,Tilmeldingsoversigt!$C$15," ")</f>
        <v>16.754098360655739</v>
      </c>
      <c r="P213" s="66"/>
    </row>
    <row r="214" spans="2:16" x14ac:dyDescent="0.25">
      <c r="B214" s="68" t="str">
        <f>IF(Tilmeldingsoversigt!$C$8="x",hovedret," ")</f>
        <v>Hovedret</v>
      </c>
      <c r="C214" s="69">
        <f ca="1">IF(B214=hovedret,Tilmeldingsoversigt!$C$16," ")</f>
        <v>55.016393442622949</v>
      </c>
      <c r="D214" s="68" t="str">
        <f>IF(Tilmeldingsoversigt!$D$8="x",hovedret," ")</f>
        <v>Hovedret</v>
      </c>
      <c r="E214" s="69">
        <f ca="1">IF(D214=hovedret,Tilmeldingsoversigt!$C$16," ")</f>
        <v>55.016393442622949</v>
      </c>
      <c r="F214" s="68" t="str">
        <f>IF(Tilmeldingsoversigt!$E$8="x",hovedret," ")</f>
        <v>Hovedret</v>
      </c>
      <c r="G214" s="69">
        <f ca="1">IF(F214=hovedret,Tilmeldingsoversigt!$C$16," ")</f>
        <v>55.016393442622949</v>
      </c>
      <c r="H214" s="68" t="str">
        <f>IF(Tilmeldingsoversigt!$F$8="x",hovedret," ")</f>
        <v>Hovedret</v>
      </c>
      <c r="I214" s="69">
        <f ca="1">IF(H214=hovedret,Tilmeldingsoversigt!$C$16," ")</f>
        <v>55.016393442622949</v>
      </c>
      <c r="J214" s="68" t="str">
        <f>IF(Tilmeldingsoversigt!$G$8="x",hovedret," ")</f>
        <v>Hovedret</v>
      </c>
      <c r="K214" s="69">
        <f ca="1">IF(J214=hovedret,Tilmeldingsoversigt!$C$16," ")</f>
        <v>55.016393442622949</v>
      </c>
      <c r="L214" s="68" t="str">
        <f>IF(Tilmeldingsoversigt!$H$8="x",hovedret," ")</f>
        <v>Hovedret</v>
      </c>
      <c r="M214" s="69">
        <f ca="1">IF(L214=hovedret,Tilmeldingsoversigt!$C$16," ")</f>
        <v>55.016393442622949</v>
      </c>
      <c r="N214" s="68" t="str">
        <f>IF(Tilmeldingsoversigt!$I$8="x",hovedret," ")</f>
        <v>Hovedret</v>
      </c>
      <c r="O214" s="70">
        <f ca="1">IF(N214=hovedret,Tilmeldingsoversigt!$C$16," ")</f>
        <v>55.016393442622949</v>
      </c>
      <c r="P214" s="66"/>
    </row>
    <row r="215" spans="2:16" x14ac:dyDescent="0.25">
      <c r="B215" s="68" t="str">
        <f>IF(Tilmeldingsoversigt!$C$9="x",Aftensmad," ")</f>
        <v>Aftensmad</v>
      </c>
      <c r="C215" s="69">
        <f ca="1">IF(B215=Aftensmad,Tilmeldingsoversigt!$C$17," ")</f>
        <v>27.540983606557376</v>
      </c>
      <c r="D215" s="68" t="str">
        <f>IF(Tilmeldingsoversigt!$D$9="x",Aftensmad," ")</f>
        <v>Aftensmad</v>
      </c>
      <c r="E215" s="69">
        <f ca="1">IF(D215=Aftensmad,Tilmeldingsoversigt!$C$17," ")</f>
        <v>27.540983606557376</v>
      </c>
      <c r="F215" s="68" t="str">
        <f>IF(Tilmeldingsoversigt!$E$9="x",Aftensmad," ")</f>
        <v>Aftensmad</v>
      </c>
      <c r="G215" s="69">
        <f ca="1">IF(F215=Aftensmad,Tilmeldingsoversigt!$C$17," ")</f>
        <v>27.540983606557376</v>
      </c>
      <c r="H215" s="68" t="str">
        <f>IF(Tilmeldingsoversigt!$F$9="x",Aftensmad," ")</f>
        <v>Aftensmad</v>
      </c>
      <c r="I215" s="69">
        <f ca="1">IF(H215=Aftensmad,Tilmeldingsoversigt!$C$17," ")</f>
        <v>27.540983606557376</v>
      </c>
      <c r="J215" s="68" t="str">
        <f>IF(Tilmeldingsoversigt!$G$9="x",Aftensmad," ")</f>
        <v>Aftensmad</v>
      </c>
      <c r="K215" s="69">
        <f ca="1">IF(J215=Aftensmad,Tilmeldingsoversigt!$C$17," ")</f>
        <v>27.540983606557376</v>
      </c>
      <c r="L215" s="68" t="str">
        <f>IF(Tilmeldingsoversigt!$H$9="x",Aftensmad," ")</f>
        <v>Aftensmad</v>
      </c>
      <c r="M215" s="69">
        <f ca="1">IF(L215=Aftensmad,Tilmeldingsoversigt!$C$17," ")</f>
        <v>27.540983606557376</v>
      </c>
      <c r="N215" s="68" t="str">
        <f>IF(Tilmeldingsoversigt!$I$9="x",Aftensmad," ")</f>
        <v>Aftensmad</v>
      </c>
      <c r="O215" s="70">
        <f ca="1">IF(N215=Aftensmad,Tilmeldingsoversigt!$C$17," ")</f>
        <v>27.540983606557376</v>
      </c>
      <c r="P215" s="66"/>
    </row>
    <row r="216" spans="2:16" x14ac:dyDescent="0.25">
      <c r="B216" s="68" t="str">
        <f>IF(Tilmeldingsoversigt!$C$10="x",biret," ")</f>
        <v>Biret</v>
      </c>
      <c r="C216" s="69">
        <f>IF(B216=biret,biretpris," ")</f>
        <v>0</v>
      </c>
      <c r="D216" s="68" t="str">
        <f>IF(Tilmeldingsoversigt!$D$10="x",biret," ")</f>
        <v>Biret</v>
      </c>
      <c r="E216" s="69">
        <f>IF(D216=biret,biretpris," ")</f>
        <v>0</v>
      </c>
      <c r="F216" s="68" t="str">
        <f>IF(Tilmeldingsoversigt!$E$10="x",biret," ")</f>
        <v>Biret</v>
      </c>
      <c r="G216" s="69">
        <f>IF(F216=biret,biretpris," ")</f>
        <v>0</v>
      </c>
      <c r="H216" s="68" t="str">
        <f>IF(Tilmeldingsoversigt!$F$10="x",biret," ")</f>
        <v>Biret</v>
      </c>
      <c r="I216" s="69">
        <f>IF(H216=biret,biretpris," ")</f>
        <v>0</v>
      </c>
      <c r="J216" s="68" t="str">
        <f>IF(Tilmeldingsoversigt!$G$10="x",biret," ")</f>
        <v>Biret</v>
      </c>
      <c r="K216" s="69">
        <f>IF(J216=biret,biretpris," ")</f>
        <v>0</v>
      </c>
      <c r="L216" s="68" t="str">
        <f>IF(Tilmeldingsoversigt!$H$10="x",biret," ")</f>
        <v>Biret</v>
      </c>
      <c r="M216" s="69">
        <f>IF(L216=biret,biretpris," ")</f>
        <v>0</v>
      </c>
      <c r="N216" s="68" t="str">
        <f>IF(Tilmeldingsoversigt!$I$10="x",biret," ")</f>
        <v>Biret</v>
      </c>
      <c r="O216" s="70">
        <f>IF(N216=biret,biretpris," ")</f>
        <v>0</v>
      </c>
      <c r="P216" s="66"/>
    </row>
    <row r="217" spans="2:16" x14ac:dyDescent="0.25">
      <c r="B217" s="71" t="str">
        <f>IF(Tilmeldingsoversigt!$C$11="x",mellemmåltid," ")</f>
        <v xml:space="preserve"> </v>
      </c>
      <c r="C217" s="72" t="str">
        <f>IF(B217=mellemmåltid,mellemmåltidspris," ")</f>
        <v xml:space="preserve"> </v>
      </c>
      <c r="D217" s="71" t="str">
        <f>IF(Tilmeldingsoversigt!$C$11="x",mellemmåltid," ")</f>
        <v xml:space="preserve"> </v>
      </c>
      <c r="E217" s="72" t="str">
        <f>IF(D217=mellemmåltid,mellemmåltidspris," ")</f>
        <v xml:space="preserve"> </v>
      </c>
      <c r="F217" s="71" t="str">
        <f>IF(Tilmeldingsoversigt!$C$11="x",mellemmåltid," ")</f>
        <v xml:space="preserve"> </v>
      </c>
      <c r="G217" s="72" t="str">
        <f>IF(F217=mellemmåltid,mellemmåltidspris," ")</f>
        <v xml:space="preserve"> </v>
      </c>
      <c r="H217" s="71" t="str">
        <f>IF(Tilmeldingsoversigt!$C$11="x",mellemmåltid," ")</f>
        <v xml:space="preserve"> </v>
      </c>
      <c r="I217" s="72" t="str">
        <f>IF(H217=mellemmåltid,mellemmåltidspris," ")</f>
        <v xml:space="preserve"> </v>
      </c>
      <c r="J217" s="71" t="str">
        <f>IF(Tilmeldingsoversigt!$C$11="x",mellemmåltid," ")</f>
        <v xml:space="preserve"> </v>
      </c>
      <c r="K217" s="72" t="str">
        <f>IF(J217=mellemmåltid,mellemmåltidspris," ")</f>
        <v xml:space="preserve"> </v>
      </c>
      <c r="L217" s="71" t="str">
        <f>IF(Tilmeldingsoversigt!$C$11="x",mellemmåltid," ")</f>
        <v xml:space="preserve"> </v>
      </c>
      <c r="M217" s="72" t="str">
        <f>IF(L217=mellemmåltid,mellemmåltidspris," ")</f>
        <v xml:space="preserve"> </v>
      </c>
      <c r="N217" s="71" t="str">
        <f>IF(Tilmeldingsoversigt!$C$11="x",mellemmåltid," ")</f>
        <v xml:space="preserve"> </v>
      </c>
      <c r="O217" s="73" t="str">
        <f>IF(N217=mellemmåltid,mellemmåltidspris," ")</f>
        <v xml:space="preserve"> </v>
      </c>
      <c r="P217" s="66"/>
    </row>
    <row r="218" spans="2:16" x14ac:dyDescent="0.25">
      <c r="B218" s="74" t="s">
        <v>44</v>
      </c>
      <c r="C218" s="11">
        <f ca="1">SUM(C213:C217)</f>
        <v>99.311475409836063</v>
      </c>
      <c r="D218" s="74"/>
      <c r="E218" s="11">
        <f ca="1">SUM(E213:E217)</f>
        <v>99.311475409836063</v>
      </c>
      <c r="F218" s="74"/>
      <c r="G218" s="11">
        <f ca="1">SUM(G213:G217)</f>
        <v>99.311475409836063</v>
      </c>
      <c r="H218" s="74"/>
      <c r="I218" s="11">
        <f ca="1">SUM(I213:I217)</f>
        <v>99.311475409836063</v>
      </c>
      <c r="J218" s="74"/>
      <c r="K218" s="11">
        <f ca="1">SUM(K213:K217)</f>
        <v>99.311475409836063</v>
      </c>
      <c r="L218" s="74"/>
      <c r="M218" s="11">
        <f ca="1">SUM(M213:M217)</f>
        <v>99.311475409836063</v>
      </c>
      <c r="N218" s="74"/>
      <c r="O218" s="12">
        <f ca="1">SUM(O213:O217)</f>
        <v>99.311475409836063</v>
      </c>
      <c r="P218" s="75">
        <f ca="1">SUM(C218,E218,G218,I218,K218,M218,O218)</f>
        <v>695.18032786885237</v>
      </c>
    </row>
    <row r="219" spans="2:16" x14ac:dyDescent="0.2">
      <c r="B219" s="76"/>
      <c r="C219" s="77"/>
      <c r="D219" s="77"/>
      <c r="E219" s="77"/>
      <c r="F219" s="77"/>
      <c r="G219" s="77"/>
      <c r="H219" s="77"/>
      <c r="I219" s="77"/>
      <c r="J219" s="77"/>
      <c r="K219" s="77"/>
      <c r="L219" s="77"/>
      <c r="M219" s="77"/>
      <c r="N219" s="77"/>
      <c r="O219" s="77"/>
      <c r="P219" s="76"/>
    </row>
    <row r="220" spans="2:16" ht="12.75" x14ac:dyDescent="0.25">
      <c r="B220" s="78">
        <f>DAY(IF(DAY(AprSøn1)=1,AprSøn1+22,AprSøn1+29))</f>
        <v>29</v>
      </c>
      <c r="C220" s="79"/>
      <c r="D220" s="78">
        <f>DAY(IF(DAY(AprSøn1)=1,AprSøn1+23,AprSøn1+30))</f>
        <v>30</v>
      </c>
      <c r="E220" s="79"/>
      <c r="F220" s="78">
        <f>DAY(IF(DAY(AprSøn1)=1,AprSøn1+24,AprSøn1+31))</f>
        <v>1</v>
      </c>
      <c r="G220" s="79"/>
      <c r="H220" s="78">
        <f>DAY(IF(DAY(AprSøn1)=1,AprSøn1+25,AprSøn1+32))</f>
        <v>2</v>
      </c>
      <c r="I220" s="79"/>
      <c r="J220" s="78">
        <f>DAY(IF(DAY(AprSøn1)=1,AprSøn1+26,AprSøn1+33))</f>
        <v>3</v>
      </c>
      <c r="K220" s="79"/>
      <c r="L220" s="78">
        <f>DAY(IF(DAY(AprSøn1)=1,AprSøn1+27,AprSøn1+34))</f>
        <v>4</v>
      </c>
      <c r="M220" s="79"/>
      <c r="N220" s="78">
        <f>DAY(IF(DAY(AprSøn1)=1,AprSøn1+28,AprSøn1+35))</f>
        <v>5</v>
      </c>
      <c r="O220" s="79"/>
      <c r="P220" s="85"/>
    </row>
    <row r="221" spans="2:16" x14ac:dyDescent="0.25">
      <c r="B221" s="64" t="s">
        <v>42</v>
      </c>
      <c r="C221" s="81" t="s">
        <v>43</v>
      </c>
      <c r="D221" s="64" t="s">
        <v>42</v>
      </c>
      <c r="E221" s="81" t="s">
        <v>43</v>
      </c>
      <c r="F221" s="64" t="s">
        <v>42</v>
      </c>
      <c r="G221" s="81" t="s">
        <v>43</v>
      </c>
      <c r="H221" s="64" t="s">
        <v>42</v>
      </c>
      <c r="I221" s="81" t="s">
        <v>43</v>
      </c>
      <c r="J221" s="64" t="s">
        <v>42</v>
      </c>
      <c r="K221" s="81" t="s">
        <v>43</v>
      </c>
      <c r="L221" s="64" t="s">
        <v>42</v>
      </c>
      <c r="M221" s="81" t="s">
        <v>43</v>
      </c>
      <c r="N221" s="64" t="s">
        <v>42</v>
      </c>
      <c r="O221" s="82" t="s">
        <v>43</v>
      </c>
      <c r="P221" s="66"/>
    </row>
    <row r="222" spans="2:16" x14ac:dyDescent="0.25">
      <c r="B222" s="136" t="str">
        <f>IF(Tilmeldingsoversigt!$C$7="x",Morgenmad," ")</f>
        <v>Morgenmad</v>
      </c>
      <c r="C222" s="67">
        <f ca="1">IF(B222=Morgenmad,Tilmeldingsoversigt!$C$15," ")</f>
        <v>16.754098360655739</v>
      </c>
      <c r="D222" s="136" t="str">
        <f>IF(Tilmeldingsoversigt!$D$7="x",Morgenmad," ")</f>
        <v>Morgenmad</v>
      </c>
      <c r="E222" s="67">
        <f ca="1">IF(D222=Morgenmad,Tilmeldingsoversigt!$C$15," ")</f>
        <v>16.754098360655739</v>
      </c>
      <c r="F222" s="136" t="str">
        <f>IF(Tilmeldingsoversigt!$E$7="x",Morgenmad," ")</f>
        <v>Morgenmad</v>
      </c>
      <c r="G222" s="67">
        <f ca="1">IF(F222=Morgenmad,Tilmeldingsoversigt!$C$15," ")</f>
        <v>16.754098360655739</v>
      </c>
      <c r="H222" s="136" t="str">
        <f>IF(Tilmeldingsoversigt!$F$7="x",Morgenmad," ")</f>
        <v>Morgenmad</v>
      </c>
      <c r="I222" s="67">
        <f ca="1">IF(H222=Morgenmad,Tilmeldingsoversigt!$C$15," ")</f>
        <v>16.754098360655739</v>
      </c>
      <c r="J222" s="136" t="str">
        <f>IF(Tilmeldingsoversigt!$G$7="x",Morgenmad," ")</f>
        <v>Morgenmad</v>
      </c>
      <c r="K222" s="67">
        <f ca="1">IF(J222=Morgenmad,Tilmeldingsoversigt!$C$15," ")</f>
        <v>16.754098360655739</v>
      </c>
      <c r="L222" s="136" t="str">
        <f>IF(Tilmeldingsoversigt!$H$7="x",Morgenmad," ")</f>
        <v>Morgenmad</v>
      </c>
      <c r="M222" s="67">
        <f ca="1">IF(L222=Morgenmad,Tilmeldingsoversigt!$C$15," ")</f>
        <v>16.754098360655739</v>
      </c>
      <c r="N222" s="139"/>
      <c r="O222" s="86"/>
      <c r="P222" s="66"/>
    </row>
    <row r="223" spans="2:16" x14ac:dyDescent="0.25">
      <c r="B223" s="68" t="str">
        <f>IF(Tilmeldingsoversigt!$C$8="x",hovedret," ")</f>
        <v>Hovedret</v>
      </c>
      <c r="C223" s="69">
        <f ca="1">IF(B223=hovedret,Tilmeldingsoversigt!$C$16," ")</f>
        <v>55.016393442622949</v>
      </c>
      <c r="D223" s="68" t="str">
        <f>IF(Tilmeldingsoversigt!$D$8="x",hovedret," ")</f>
        <v>Hovedret</v>
      </c>
      <c r="E223" s="69">
        <f ca="1">IF(D223=hovedret,Tilmeldingsoversigt!$C$16," ")</f>
        <v>55.016393442622949</v>
      </c>
      <c r="F223" s="68" t="str">
        <f>IF(Tilmeldingsoversigt!$E$8="x",hovedret," ")</f>
        <v>Hovedret</v>
      </c>
      <c r="G223" s="69">
        <f ca="1">IF(F223=hovedret,Tilmeldingsoversigt!$C$16," ")</f>
        <v>55.016393442622949</v>
      </c>
      <c r="H223" s="68" t="str">
        <f>IF(Tilmeldingsoversigt!$F$8="x",hovedret," ")</f>
        <v>Hovedret</v>
      </c>
      <c r="I223" s="69">
        <f ca="1">IF(H223=hovedret,Tilmeldingsoversigt!$C$16," ")</f>
        <v>55.016393442622949</v>
      </c>
      <c r="J223" s="68" t="str">
        <f>IF(Tilmeldingsoversigt!$G$8="x",hovedret," ")</f>
        <v>Hovedret</v>
      </c>
      <c r="K223" s="69">
        <f ca="1">IF(J223=hovedret,Tilmeldingsoversigt!$C$16," ")</f>
        <v>55.016393442622949</v>
      </c>
      <c r="L223" s="68" t="str">
        <f>IF(Tilmeldingsoversigt!$H$8="x",hovedret," ")</f>
        <v>Hovedret</v>
      </c>
      <c r="M223" s="69">
        <f ca="1">IF(L223=hovedret,Tilmeldingsoversigt!$C$16," ")</f>
        <v>55.016393442622949</v>
      </c>
      <c r="N223" s="87"/>
      <c r="O223" s="88"/>
      <c r="P223" s="66"/>
    </row>
    <row r="224" spans="2:16" x14ac:dyDescent="0.25">
      <c r="B224" s="68" t="str">
        <f>IF(Tilmeldingsoversigt!$C$9="x",Aftensmad," ")</f>
        <v>Aftensmad</v>
      </c>
      <c r="C224" s="69">
        <f ca="1">IF(B224=Aftensmad,Tilmeldingsoversigt!$C$17," ")</f>
        <v>27.540983606557376</v>
      </c>
      <c r="D224" s="68" t="str">
        <f>IF(Tilmeldingsoversigt!$D$9="x",Aftensmad," ")</f>
        <v>Aftensmad</v>
      </c>
      <c r="E224" s="69">
        <f ca="1">IF(D224=Aftensmad,Tilmeldingsoversigt!$C$17," ")</f>
        <v>27.540983606557376</v>
      </c>
      <c r="F224" s="68" t="str">
        <f>IF(Tilmeldingsoversigt!$E$9="x",Aftensmad," ")</f>
        <v>Aftensmad</v>
      </c>
      <c r="G224" s="69">
        <f ca="1">IF(F224=Aftensmad,Tilmeldingsoversigt!$C$17," ")</f>
        <v>27.540983606557376</v>
      </c>
      <c r="H224" s="68" t="str">
        <f>IF(Tilmeldingsoversigt!$F$9="x",Aftensmad," ")</f>
        <v>Aftensmad</v>
      </c>
      <c r="I224" s="69">
        <f ca="1">IF(H224=Aftensmad,Tilmeldingsoversigt!$C$17," ")</f>
        <v>27.540983606557376</v>
      </c>
      <c r="J224" s="68" t="str">
        <f>IF(Tilmeldingsoversigt!$G$9="x",Aftensmad," ")</f>
        <v>Aftensmad</v>
      </c>
      <c r="K224" s="69">
        <f ca="1">IF(J224=Aftensmad,Tilmeldingsoversigt!$C$17," ")</f>
        <v>27.540983606557376</v>
      </c>
      <c r="L224" s="68" t="str">
        <f>IF(Tilmeldingsoversigt!$H$9="x",Aftensmad," ")</f>
        <v>Aftensmad</v>
      </c>
      <c r="M224" s="69">
        <f ca="1">IF(L224=Aftensmad,Tilmeldingsoversigt!$C$17," ")</f>
        <v>27.540983606557376</v>
      </c>
      <c r="N224" s="87"/>
      <c r="O224" s="88"/>
      <c r="P224" s="66"/>
    </row>
    <row r="225" spans="2:16" x14ac:dyDescent="0.25">
      <c r="B225" s="68" t="str">
        <f>IF(Tilmeldingsoversigt!$C$10="x",biret," ")</f>
        <v>Biret</v>
      </c>
      <c r="C225" s="69">
        <f>IF(B225=biret,biretpris," ")</f>
        <v>0</v>
      </c>
      <c r="D225" s="68" t="str">
        <f>IF(Tilmeldingsoversigt!$D$10="x",biret," ")</f>
        <v>Biret</v>
      </c>
      <c r="E225" s="69">
        <f>IF(D225=biret,biretpris," ")</f>
        <v>0</v>
      </c>
      <c r="F225" s="68" t="str">
        <f>IF(Tilmeldingsoversigt!$E$10="x",biret," ")</f>
        <v>Biret</v>
      </c>
      <c r="G225" s="69">
        <f>IF(F225=biret,biretpris," ")</f>
        <v>0</v>
      </c>
      <c r="H225" s="68" t="str">
        <f>IF(Tilmeldingsoversigt!$F$10="x",biret," ")</f>
        <v>Biret</v>
      </c>
      <c r="I225" s="69">
        <f>IF(H225=biret,biretpris," ")</f>
        <v>0</v>
      </c>
      <c r="J225" s="68" t="str">
        <f>IF(Tilmeldingsoversigt!$G$10="x",biret," ")</f>
        <v>Biret</v>
      </c>
      <c r="K225" s="69">
        <f>IF(J225=biret,biretpris," ")</f>
        <v>0</v>
      </c>
      <c r="L225" s="68" t="str">
        <f>IF(Tilmeldingsoversigt!$H$10="x",biret," ")</f>
        <v>Biret</v>
      </c>
      <c r="M225" s="69">
        <f>IF(L225=biret,biretpris," ")</f>
        <v>0</v>
      </c>
      <c r="N225" s="68"/>
      <c r="O225" s="70"/>
      <c r="P225" s="66"/>
    </row>
    <row r="226" spans="2:16" x14ac:dyDescent="0.25">
      <c r="B226" s="71" t="str">
        <f>IF(Tilmeldingsoversigt!$C$11="x",mellemmåltid," ")</f>
        <v xml:space="preserve"> </v>
      </c>
      <c r="C226" s="72" t="str">
        <f>IF(B226=mellemmåltid,mellemmåltidspris," ")</f>
        <v xml:space="preserve"> </v>
      </c>
      <c r="D226" s="71" t="str">
        <f>IF(Tilmeldingsoversigt!$C$11="x",mellemmåltid," ")</f>
        <v xml:space="preserve"> </v>
      </c>
      <c r="E226" s="72" t="str">
        <f>IF(D226=mellemmåltid,mellemmåltidspris," ")</f>
        <v xml:space="preserve"> </v>
      </c>
      <c r="F226" s="71" t="str">
        <f>IF(Tilmeldingsoversigt!$C$11="x",mellemmåltid," ")</f>
        <v xml:space="preserve"> </v>
      </c>
      <c r="G226" s="72" t="str">
        <f>IF(F226=mellemmåltid,mellemmåltidspris," ")</f>
        <v xml:space="preserve"> </v>
      </c>
      <c r="H226" s="71" t="str">
        <f>IF(Tilmeldingsoversigt!$C$11="x",mellemmåltid," ")</f>
        <v xml:space="preserve"> </v>
      </c>
      <c r="I226" s="72" t="str">
        <f>IF(H226=mellemmåltid,mellemmåltidspris," ")</f>
        <v xml:space="preserve"> </v>
      </c>
      <c r="J226" s="71" t="str">
        <f>IF(Tilmeldingsoversigt!$C$11="x",mellemmåltid," ")</f>
        <v xml:space="preserve"> </v>
      </c>
      <c r="K226" s="72" t="str">
        <f>IF(J226=mellemmåltid,mellemmåltidspris," ")</f>
        <v xml:space="preserve"> </v>
      </c>
      <c r="L226" s="71" t="str">
        <f>IF(Tilmeldingsoversigt!$C$11="x",mellemmåltid," ")</f>
        <v xml:space="preserve"> </v>
      </c>
      <c r="M226" s="72" t="str">
        <f>IF(L226=mellemmåltid,mellemmåltidspris," ")</f>
        <v xml:space="preserve"> </v>
      </c>
      <c r="N226" s="71"/>
      <c r="O226" s="73"/>
      <c r="P226" s="66"/>
    </row>
    <row r="227" spans="2:16" x14ac:dyDescent="0.25">
      <c r="B227" s="74" t="s">
        <v>44</v>
      </c>
      <c r="C227" s="11">
        <f ca="1">SUM(C222:C226)</f>
        <v>99.311475409836063</v>
      </c>
      <c r="D227" s="74"/>
      <c r="E227" s="11">
        <f ca="1">SUM(E222:E226)</f>
        <v>99.311475409836063</v>
      </c>
      <c r="F227" s="74"/>
      <c r="G227" s="11">
        <f ca="1">SUM(G222:G226)</f>
        <v>99.311475409836063</v>
      </c>
      <c r="H227" s="74"/>
      <c r="I227" s="11">
        <f ca="1">SUM(I222:I226)</f>
        <v>99.311475409836063</v>
      </c>
      <c r="J227" s="74"/>
      <c r="K227" s="11">
        <f ca="1">SUM(K222:K226)</f>
        <v>99.311475409836063</v>
      </c>
      <c r="L227" s="74"/>
      <c r="M227" s="11">
        <f ca="1">SUM(M222:M226)</f>
        <v>99.311475409836063</v>
      </c>
      <c r="N227" s="74"/>
      <c r="O227" s="12">
        <f>SUM(O222:O226)</f>
        <v>0</v>
      </c>
      <c r="P227" s="75">
        <f ca="1">SUMIF(B220:N220,"&gt;="&amp;15,C227:O227)</f>
        <v>198.62295081967213</v>
      </c>
    </row>
    <row r="228" spans="2:16" x14ac:dyDescent="0.2">
      <c r="B228" s="76"/>
      <c r="C228" s="77"/>
      <c r="D228" s="77"/>
      <c r="E228" s="77"/>
      <c r="F228" s="77"/>
      <c r="G228" s="77"/>
      <c r="H228" s="77"/>
      <c r="I228" s="77"/>
      <c r="J228" s="77"/>
      <c r="K228" s="77"/>
      <c r="L228" s="77"/>
      <c r="M228" s="77"/>
      <c r="N228" s="77"/>
      <c r="O228" s="77"/>
      <c r="P228" s="76"/>
    </row>
    <row r="229" spans="2:16" ht="12.75" hidden="1" x14ac:dyDescent="0.25">
      <c r="B229" s="78">
        <f>DAY(IF(DAY(AprSøn1)=1,AprSøn1+29,AprSøn1+36))</f>
        <v>6</v>
      </c>
      <c r="C229" s="91"/>
      <c r="D229" s="78">
        <f>DAY(IF(DAY(AprSøn1)=1,AprSøn1+30,AprSøn1+37))</f>
        <v>7</v>
      </c>
      <c r="E229" s="79"/>
      <c r="F229" s="92">
        <f>DAY(IF(DAY(AprSøn1)=1,AprSøn1+31,AprSøn1+38))</f>
        <v>8</v>
      </c>
      <c r="G229" s="79"/>
      <c r="H229" s="78">
        <f>DAY(IF(DAY(AprSøn1)=1,AprSøn1+32,AprSøn1+39))</f>
        <v>9</v>
      </c>
      <c r="I229" s="79"/>
      <c r="J229" s="78">
        <f>DAY(IF(DAY(AprSøn1)=1,AprSøn1+33,AprSøn1+40))</f>
        <v>10</v>
      </c>
      <c r="K229" s="79"/>
      <c r="L229" s="78">
        <f>DAY(IF(DAY(AprSøn1)=1,AprSøn1+34,AprSøn1+41))</f>
        <v>11</v>
      </c>
      <c r="M229" s="79"/>
      <c r="N229" s="78">
        <f>DAY(IF(DAY(AprSøn1)=1,AprSøn1+35,AprSøn1+42))</f>
        <v>12</v>
      </c>
      <c r="O229" s="79"/>
      <c r="P229" s="85"/>
    </row>
    <row r="230" spans="2:16" hidden="1" x14ac:dyDescent="0.25">
      <c r="B230" s="64" t="s">
        <v>42</v>
      </c>
      <c r="C230" s="81" t="s">
        <v>43</v>
      </c>
      <c r="D230" s="64" t="s">
        <v>42</v>
      </c>
      <c r="E230" s="81" t="s">
        <v>43</v>
      </c>
      <c r="F230" s="64" t="s">
        <v>42</v>
      </c>
      <c r="G230" s="81" t="s">
        <v>43</v>
      </c>
      <c r="H230" s="64" t="s">
        <v>42</v>
      </c>
      <c r="I230" s="81" t="s">
        <v>43</v>
      </c>
      <c r="J230" s="64" t="s">
        <v>42</v>
      </c>
      <c r="K230" s="81" t="s">
        <v>43</v>
      </c>
      <c r="L230" s="64" t="s">
        <v>42</v>
      </c>
      <c r="M230" s="81" t="s">
        <v>43</v>
      </c>
      <c r="N230" s="64" t="s">
        <v>42</v>
      </c>
      <c r="O230" s="82" t="s">
        <v>43</v>
      </c>
      <c r="P230" s="66"/>
    </row>
    <row r="231" spans="2:16" hidden="1" x14ac:dyDescent="0.25">
      <c r="B231" s="136"/>
      <c r="C231" s="67"/>
      <c r="D231" s="136"/>
      <c r="E231" s="67"/>
      <c r="F231" s="136"/>
      <c r="G231" s="67"/>
      <c r="H231" s="136"/>
      <c r="I231" s="67"/>
      <c r="J231" s="136"/>
      <c r="K231" s="67"/>
      <c r="L231" s="136"/>
      <c r="M231" s="67"/>
      <c r="N231" s="136"/>
      <c r="O231" s="83" t="str">
        <f>IF(N231=Morgenmad,Tilmeldingsoversigt!$C$15," ")</f>
        <v xml:space="preserve"> </v>
      </c>
      <c r="P231" s="66"/>
    </row>
    <row r="232" spans="2:16" hidden="1" x14ac:dyDescent="0.25">
      <c r="B232" s="68"/>
      <c r="C232" s="69"/>
      <c r="D232" s="68"/>
      <c r="E232" s="69"/>
      <c r="F232" s="68"/>
      <c r="G232" s="69"/>
      <c r="H232" s="68"/>
      <c r="I232" s="69"/>
      <c r="J232" s="68"/>
      <c r="K232" s="69"/>
      <c r="L232" s="68"/>
      <c r="M232" s="69"/>
      <c r="N232" s="68"/>
      <c r="O232" s="70" t="str">
        <f>IF(N232=hovedret,Tilmeldingsoversigt!$C$16," ")</f>
        <v xml:space="preserve"> </v>
      </c>
      <c r="P232" s="66"/>
    </row>
    <row r="233" spans="2:16" hidden="1" x14ac:dyDescent="0.25">
      <c r="B233" s="68"/>
      <c r="C233" s="69"/>
      <c r="D233" s="68"/>
      <c r="E233" s="69"/>
      <c r="F233" s="68"/>
      <c r="G233" s="69"/>
      <c r="H233" s="68"/>
      <c r="I233" s="69"/>
      <c r="J233" s="68"/>
      <c r="K233" s="69"/>
      <c r="L233" s="68"/>
      <c r="M233" s="69"/>
      <c r="N233" s="68"/>
      <c r="O233" s="70" t="str">
        <f>IF(N233=Aftensmad,Tilmeldingsoversigt!$C$17," ")</f>
        <v xml:space="preserve"> </v>
      </c>
      <c r="P233" s="66"/>
    </row>
    <row r="234" spans="2:16" hidden="1" x14ac:dyDescent="0.25">
      <c r="B234" s="68"/>
      <c r="C234" s="69"/>
      <c r="D234" s="68"/>
      <c r="E234" s="69"/>
      <c r="F234" s="68"/>
      <c r="G234" s="69"/>
      <c r="H234" s="68"/>
      <c r="I234" s="69"/>
      <c r="J234" s="68"/>
      <c r="K234" s="69"/>
      <c r="L234" s="68"/>
      <c r="M234" s="69"/>
      <c r="N234" s="68"/>
      <c r="O234" s="70"/>
      <c r="P234" s="66"/>
    </row>
    <row r="235" spans="2:16" hidden="1" x14ac:dyDescent="0.25">
      <c r="B235" s="71"/>
      <c r="C235" s="72"/>
      <c r="D235" s="71"/>
      <c r="E235" s="72"/>
      <c r="F235" s="71"/>
      <c r="G235" s="72"/>
      <c r="H235" s="71"/>
      <c r="I235" s="72"/>
      <c r="J235" s="71"/>
      <c r="K235" s="72"/>
      <c r="L235" s="71"/>
      <c r="M235" s="72"/>
      <c r="N235" s="71"/>
      <c r="O235" s="73"/>
      <c r="P235" s="66"/>
    </row>
    <row r="236" spans="2:16" hidden="1" x14ac:dyDescent="0.25">
      <c r="B236" s="74" t="s">
        <v>44</v>
      </c>
      <c r="C236" s="11">
        <f>SUM(C231:C235)</f>
        <v>0</v>
      </c>
      <c r="D236" s="74"/>
      <c r="E236" s="11">
        <f>SUM(E231:E235)</f>
        <v>0</v>
      </c>
      <c r="F236" s="74"/>
      <c r="G236" s="11">
        <f>SUM(G231:G235)</f>
        <v>0</v>
      </c>
      <c r="H236" s="74"/>
      <c r="I236" s="11">
        <f>SUM(I231:I235)</f>
        <v>0</v>
      </c>
      <c r="J236" s="74"/>
      <c r="K236" s="11">
        <f>SUM(K231:K235)</f>
        <v>0</v>
      </c>
      <c r="L236" s="74"/>
      <c r="M236" s="11">
        <f>SUM(M231:M235)</f>
        <v>0</v>
      </c>
      <c r="N236" s="74"/>
      <c r="O236" s="12">
        <f>SUM(O231:O235)</f>
        <v>0</v>
      </c>
      <c r="P236" s="75">
        <f>SUMIF(B229:N229,"&gt;="&amp;15,C236:O236)</f>
        <v>0</v>
      </c>
    </row>
    <row r="237" spans="2:16" ht="17.25" customHeight="1" x14ac:dyDescent="0.2"/>
    <row r="238" spans="2:16" ht="15" x14ac:dyDescent="0.25">
      <c r="B238" s="246" t="s">
        <v>48</v>
      </c>
      <c r="C238" s="246"/>
      <c r="D238" s="246"/>
      <c r="E238" s="246"/>
      <c r="F238" s="51" t="s">
        <v>82</v>
      </c>
      <c r="G238" s="51"/>
      <c r="H238" s="51"/>
      <c r="I238" s="51"/>
      <c r="J238" s="51"/>
      <c r="K238" s="51"/>
      <c r="L238" s="247" t="s">
        <v>83</v>
      </c>
      <c r="M238" s="247"/>
      <c r="N238" s="247" t="s">
        <v>84</v>
      </c>
      <c r="O238" s="247"/>
      <c r="P238" s="49"/>
    </row>
    <row r="239" spans="2:16" ht="25.5" customHeight="1" x14ac:dyDescent="0.25">
      <c r="B239" s="246"/>
      <c r="C239" s="246"/>
      <c r="D239" s="246"/>
      <c r="E239" s="246"/>
      <c r="F239" s="97" t="str">
        <f>Morgenmad</f>
        <v>Morgenmad</v>
      </c>
      <c r="G239" s="97">
        <f ca="1">IF(maj_sum=0,0,(COUNTIF($B$245:$O$294,F239)))-'Tilmeldte måltider'!G242</f>
        <v>0</v>
      </c>
      <c r="H239" s="97" t="str">
        <f>hovedret</f>
        <v>Hovedret</v>
      </c>
      <c r="I239" s="97">
        <f ca="1">IF(maj_sum=0,0,(COUNTIF(B244:O293,hovedret)))-'Tilmeldte måltider'!I242</f>
        <v>0</v>
      </c>
      <c r="J239" s="97" t="str">
        <f>Aftensmad</f>
        <v>Aftensmad</v>
      </c>
      <c r="K239" s="97">
        <f ca="1">IF(maj_sum=0,0,(COUNTIF(B244:O293,Aftensmad)))-'Tilmeldte måltider'!K242</f>
        <v>0</v>
      </c>
      <c r="L239" s="268" t="e">
        <f ca="1">(G239*Morgenpris)+(I239*Frokostpris)+(K239*Aftenpris)+(G240*biretpris)+(I240*mellemmåltidspris)+(M240*gæstehpris)+(O240*gæstebpris)</f>
        <v>#VALUE!</v>
      </c>
      <c r="M239" s="269"/>
      <c r="N239" s="270" t="e">
        <f ca="1">$L$3+$L$62+$L$121+$L$180+$L$239+$L$298</f>
        <v>#VALUE!</v>
      </c>
      <c r="O239" s="271"/>
      <c r="P239" s="49"/>
    </row>
    <row r="240" spans="2:16" ht="25.5" customHeight="1" x14ac:dyDescent="0.45">
      <c r="B240" s="121"/>
      <c r="C240" s="121"/>
      <c r="D240" s="121"/>
      <c r="E240" s="121"/>
      <c r="F240" s="98" t="str">
        <f>biret</f>
        <v>Biret</v>
      </c>
      <c r="G240" s="97">
        <f ca="1">IF(maj_sum=0,0,(COUNTIF($B$245:$O$294,F240)))-'Tilmeldte måltider'!G243</f>
        <v>0</v>
      </c>
      <c r="H240" s="98" t="str">
        <f>mellemmåltid</f>
        <v>Mellemmåltid</v>
      </c>
      <c r="I240" s="97">
        <f ca="1">IF(maj_sum=0,0,(COUNTIF($B$245:$O$294,H240)))-'Tilmeldte måltider'!I243</f>
        <v>0</v>
      </c>
      <c r="J240" s="140" t="s">
        <v>105</v>
      </c>
      <c r="K240" s="140"/>
      <c r="L240" s="141" t="s">
        <v>25</v>
      </c>
      <c r="M240" s="100"/>
      <c r="N240" s="141" t="s">
        <v>15</v>
      </c>
      <c r="O240" s="100"/>
      <c r="P240" s="49"/>
    </row>
    <row r="241" spans="2:16" ht="9" customHeight="1" x14ac:dyDescent="0.2">
      <c r="B241" s="251">
        <v>1</v>
      </c>
      <c r="C241" s="251"/>
      <c r="D241" s="251">
        <v>2</v>
      </c>
      <c r="E241" s="251"/>
      <c r="F241" s="251">
        <v>3</v>
      </c>
      <c r="G241" s="251"/>
      <c r="H241" s="251">
        <v>4</v>
      </c>
      <c r="I241" s="251"/>
      <c r="J241" s="251">
        <v>5</v>
      </c>
      <c r="K241" s="251"/>
      <c r="L241" s="251">
        <v>6</v>
      </c>
      <c r="M241" s="251"/>
      <c r="N241" s="251">
        <v>7</v>
      </c>
      <c r="O241" s="251"/>
      <c r="P241" s="50"/>
    </row>
    <row r="242" spans="2:16" ht="15" customHeight="1" x14ac:dyDescent="0.25">
      <c r="B242" s="252" t="s">
        <v>34</v>
      </c>
      <c r="C242" s="253"/>
      <c r="D242" s="254" t="s">
        <v>35</v>
      </c>
      <c r="E242" s="255" t="e">
        <f>IF(WEEKDAY(DATEVALUE(Month1&amp;" 1, "&amp;Year1))=COLUMN(#REF!),1,IF(LEN(C242)&gt;0,C242+1,""))</f>
        <v>#NAME?</v>
      </c>
      <c r="F242" s="253" t="s">
        <v>36</v>
      </c>
      <c r="G242" s="253" t="e">
        <f>IF(WEEKDAY(DATEVALUE(Month1&amp;" 1, "&amp;Year1))=COLUMN(#REF!),1,IF(LEN(E242)&gt;0,E242+1,""))</f>
        <v>#NAME?</v>
      </c>
      <c r="H242" s="254" t="s">
        <v>37</v>
      </c>
      <c r="I242" s="255" t="e">
        <f>IF(WEEKDAY(DATEVALUE(Month1&amp;" 1, "&amp;Year1))=COLUMN(#REF!),1,IF(LEN(G242)&gt;0,G242+1,""))</f>
        <v>#NAME?</v>
      </c>
      <c r="J242" s="256" t="s">
        <v>38</v>
      </c>
      <c r="K242" s="257" t="e">
        <f>IF(WEEKDAY(DATEVALUE(Month1&amp;" 1, "&amp;Year1))=COLUMN(#REF!),1,IF(LEN(I242)&gt;0,I242+1,""))</f>
        <v>#NAME?</v>
      </c>
      <c r="L242" s="258" t="s">
        <v>39</v>
      </c>
      <c r="M242" s="259" t="e">
        <f>IF(WEEKDAY(DATEVALUE(Month1&amp;" 1, "&amp;Year1))=COLUMN(#REF!),1,IF(LEN(K242)&gt;0,K242+1,""))</f>
        <v>#NAME?</v>
      </c>
      <c r="N242" s="258" t="s">
        <v>40</v>
      </c>
      <c r="O242" s="259" t="e">
        <f>IF(WEEKDAY(DATEVALUE(Month1&amp;" 1, "&amp;Year1))=COLUMN(#REF!),1,IF(LEN(M242)&gt;0,M242+1,""))</f>
        <v>#NAME?</v>
      </c>
      <c r="P242" s="53" t="s">
        <v>41</v>
      </c>
    </row>
    <row r="243" spans="2:16" ht="12.75" x14ac:dyDescent="0.25">
      <c r="B243" s="55">
        <f>DAY(IF(DAY(MajSøn1)=1,MajSøn1-6,MajSøn1+1))</f>
        <v>29</v>
      </c>
      <c r="C243" s="56"/>
      <c r="D243" s="57">
        <f>DAY(IF(DAY(MajSøn1)=1,MajSøn1-5,MajSøn1+2))</f>
        <v>30</v>
      </c>
      <c r="E243" s="56"/>
      <c r="F243" s="57">
        <f>DAY(IF(DAY(MajSøn1)=1,MajSøn1-4,MajSøn1+3))</f>
        <v>1</v>
      </c>
      <c r="G243" s="56"/>
      <c r="H243" s="57">
        <f>DAY(IF(DAY(MajSøn1)=1,MajSøn1-3,MajSøn1+4))</f>
        <v>2</v>
      </c>
      <c r="I243" s="56"/>
      <c r="J243" s="57">
        <f>DAY(IF(DAY(MajSøn1)=1,MajSøn1-2,MajSøn1+5))</f>
        <v>3</v>
      </c>
      <c r="K243" s="56"/>
      <c r="L243" s="57">
        <f>DAY(IF(DAY(MajSøn1)=1,MajSøn1-1,MajSøn1+6))</f>
        <v>4</v>
      </c>
      <c r="M243" s="56"/>
      <c r="N243" s="58">
        <f>DAY(IF(DAY(MajSøn1)=1,MajSøn1,MajSøn1+7))</f>
        <v>5</v>
      </c>
      <c r="O243" s="59"/>
      <c r="P243" s="60"/>
    </row>
    <row r="244" spans="2:16" x14ac:dyDescent="0.25">
      <c r="B244" s="61" t="s">
        <v>42</v>
      </c>
      <c r="C244" s="62" t="s">
        <v>43</v>
      </c>
      <c r="D244" s="63" t="s">
        <v>42</v>
      </c>
      <c r="E244" s="62" t="s">
        <v>43</v>
      </c>
      <c r="F244" s="63" t="s">
        <v>42</v>
      </c>
      <c r="G244" s="62" t="s">
        <v>43</v>
      </c>
      <c r="H244" s="63" t="s">
        <v>42</v>
      </c>
      <c r="I244" s="62" t="s">
        <v>43</v>
      </c>
      <c r="J244" s="63" t="s">
        <v>42</v>
      </c>
      <c r="K244" s="62" t="s">
        <v>43</v>
      </c>
      <c r="L244" s="63" t="s">
        <v>42</v>
      </c>
      <c r="M244" s="62" t="s">
        <v>43</v>
      </c>
      <c r="N244" s="64" t="s">
        <v>42</v>
      </c>
      <c r="O244" s="65" t="s">
        <v>43</v>
      </c>
      <c r="P244" s="66"/>
    </row>
    <row r="245" spans="2:16" x14ac:dyDescent="0.25">
      <c r="B245" s="136"/>
      <c r="C245" s="67"/>
      <c r="D245" s="136"/>
      <c r="E245" s="67"/>
      <c r="F245" s="136"/>
      <c r="G245" s="67"/>
      <c r="H245" s="136"/>
      <c r="I245" s="67"/>
      <c r="J245" s="136"/>
      <c r="K245" s="67"/>
      <c r="L245" s="136"/>
      <c r="M245" s="67"/>
      <c r="N245" s="136" t="str">
        <f>IF(Tilmeldingsoversigt!$I$7="x",Morgenmad," ")</f>
        <v>Morgenmad</v>
      </c>
      <c r="O245" s="83">
        <f ca="1">IF(N245=Morgenmad,Tilmeldingsoversigt!$C$15," ")</f>
        <v>16.754098360655739</v>
      </c>
      <c r="P245" s="66"/>
    </row>
    <row r="246" spans="2:16" x14ac:dyDescent="0.25">
      <c r="B246" s="68"/>
      <c r="C246" s="69"/>
      <c r="D246" s="68"/>
      <c r="E246" s="69"/>
      <c r="F246" s="68"/>
      <c r="G246" s="69"/>
      <c r="H246" s="68"/>
      <c r="I246" s="69"/>
      <c r="J246" s="68"/>
      <c r="K246" s="69"/>
      <c r="L246" s="68"/>
      <c r="M246" s="69"/>
      <c r="N246" s="68" t="str">
        <f>IF(Tilmeldingsoversigt!$I$8="x",hovedret," ")</f>
        <v>Hovedret</v>
      </c>
      <c r="O246" s="70">
        <f ca="1">IF(N246=hovedret,Tilmeldingsoversigt!$C$16," ")</f>
        <v>55.016393442622949</v>
      </c>
      <c r="P246" s="66"/>
    </row>
    <row r="247" spans="2:16" x14ac:dyDescent="0.25">
      <c r="B247" s="68"/>
      <c r="C247" s="69"/>
      <c r="D247" s="68"/>
      <c r="E247" s="69"/>
      <c r="F247" s="68"/>
      <c r="G247" s="69"/>
      <c r="H247" s="68"/>
      <c r="I247" s="69"/>
      <c r="J247" s="68"/>
      <c r="K247" s="69"/>
      <c r="L247" s="68"/>
      <c r="M247" s="69"/>
      <c r="N247" s="68" t="str">
        <f>IF(Tilmeldingsoversigt!$I$9="x",Aftensmad," ")</f>
        <v>Aftensmad</v>
      </c>
      <c r="O247" s="70">
        <f ca="1">IF(N247=Aftensmad,Tilmeldingsoversigt!$C$17," ")</f>
        <v>27.540983606557376</v>
      </c>
      <c r="P247" s="66"/>
    </row>
    <row r="248" spans="2:16" x14ac:dyDescent="0.25">
      <c r="B248" s="68"/>
      <c r="C248" s="69"/>
      <c r="D248" s="68"/>
      <c r="E248" s="69"/>
      <c r="F248" s="68"/>
      <c r="G248" s="69"/>
      <c r="H248" s="68"/>
      <c r="I248" s="69"/>
      <c r="J248" s="68"/>
      <c r="K248" s="69"/>
      <c r="L248" s="68"/>
      <c r="M248" s="69"/>
      <c r="N248" s="68" t="str">
        <f>IF(Tilmeldingsoversigt!$I$10="x",biret," ")</f>
        <v>Biret</v>
      </c>
      <c r="O248" s="69">
        <f>IF(N248=biret,biretpris," ")</f>
        <v>0</v>
      </c>
      <c r="P248" s="66"/>
    </row>
    <row r="249" spans="2:16" x14ac:dyDescent="0.25">
      <c r="B249" s="71"/>
      <c r="C249" s="72"/>
      <c r="D249" s="71"/>
      <c r="E249" s="72"/>
      <c r="F249" s="71"/>
      <c r="G249" s="72"/>
      <c r="H249" s="71"/>
      <c r="I249" s="72"/>
      <c r="J249" s="71"/>
      <c r="K249" s="72"/>
      <c r="L249" s="71"/>
      <c r="M249" s="72"/>
      <c r="N249" s="71" t="str">
        <f>IF(Tilmeldingsoversigt!$C$11="x",mellemmåltid," ")</f>
        <v xml:space="preserve"> </v>
      </c>
      <c r="O249" s="72" t="str">
        <f>IF(N249=mellemmåltid,mellemmåltidspris," ")</f>
        <v xml:space="preserve"> </v>
      </c>
      <c r="P249" s="66"/>
    </row>
    <row r="250" spans="2:16" x14ac:dyDescent="0.25">
      <c r="B250" s="74" t="s">
        <v>44</v>
      </c>
      <c r="C250" s="11">
        <f>SUM(C245:C249)</f>
        <v>0</v>
      </c>
      <c r="D250" s="74"/>
      <c r="E250" s="11">
        <f>SUM(E245:E249)</f>
        <v>0</v>
      </c>
      <c r="F250" s="74"/>
      <c r="G250" s="11">
        <f>SUM(G245:G249)</f>
        <v>0</v>
      </c>
      <c r="H250" s="74"/>
      <c r="I250" s="11">
        <f>SUM(I245:I249)</f>
        <v>0</v>
      </c>
      <c r="J250" s="74"/>
      <c r="K250" s="11">
        <f>SUM(K245:K249)</f>
        <v>0</v>
      </c>
      <c r="L250" s="74"/>
      <c r="M250" s="11">
        <f>SUM(M245:M249)</f>
        <v>0</v>
      </c>
      <c r="N250" s="74"/>
      <c r="O250" s="12">
        <f ca="1">SUM(O245:O249)</f>
        <v>99.311475409836063</v>
      </c>
      <c r="P250" s="75">
        <f ca="1">SUMIF(B243:N243,"&lt;8",C250:O250)</f>
        <v>99.311475409836063</v>
      </c>
    </row>
    <row r="251" spans="2:16" x14ac:dyDescent="0.2">
      <c r="B251" s="76"/>
      <c r="C251" s="77"/>
      <c r="D251" s="77"/>
      <c r="E251" s="77"/>
      <c r="F251" s="77"/>
      <c r="G251" s="77"/>
      <c r="H251" s="77"/>
      <c r="I251" s="77"/>
      <c r="J251" s="77"/>
      <c r="K251" s="77"/>
      <c r="L251" s="77"/>
      <c r="M251" s="77"/>
      <c r="N251" s="77"/>
      <c r="O251" s="77"/>
      <c r="P251" s="76"/>
    </row>
    <row r="252" spans="2:16" ht="12.75" x14ac:dyDescent="0.25">
      <c r="B252" s="78">
        <f>N243+1</f>
        <v>6</v>
      </c>
      <c r="C252" s="79"/>
      <c r="D252" s="78">
        <f>B252+1</f>
        <v>7</v>
      </c>
      <c r="E252" s="79"/>
      <c r="F252" s="78">
        <f>D252+1</f>
        <v>8</v>
      </c>
      <c r="G252" s="79"/>
      <c r="H252" s="78">
        <f>F252+1</f>
        <v>9</v>
      </c>
      <c r="I252" s="79"/>
      <c r="J252" s="78">
        <f>H252+1</f>
        <v>10</v>
      </c>
      <c r="K252" s="79"/>
      <c r="L252" s="78">
        <f>J252+1</f>
        <v>11</v>
      </c>
      <c r="M252" s="79"/>
      <c r="N252" s="78">
        <f>L252+1</f>
        <v>12</v>
      </c>
      <c r="O252" s="79"/>
      <c r="P252" s="80"/>
    </row>
    <row r="253" spans="2:16" x14ac:dyDescent="0.25">
      <c r="B253" s="64" t="s">
        <v>42</v>
      </c>
      <c r="C253" s="81" t="s">
        <v>43</v>
      </c>
      <c r="D253" s="64" t="s">
        <v>42</v>
      </c>
      <c r="E253" s="81" t="s">
        <v>43</v>
      </c>
      <c r="F253" s="64" t="s">
        <v>42</v>
      </c>
      <c r="G253" s="81" t="s">
        <v>43</v>
      </c>
      <c r="H253" s="64" t="s">
        <v>42</v>
      </c>
      <c r="I253" s="81" t="s">
        <v>43</v>
      </c>
      <c r="J253" s="64" t="s">
        <v>42</v>
      </c>
      <c r="K253" s="81" t="s">
        <v>43</v>
      </c>
      <c r="L253" s="64" t="s">
        <v>42</v>
      </c>
      <c r="M253" s="81" t="s">
        <v>43</v>
      </c>
      <c r="N253" s="64" t="s">
        <v>42</v>
      </c>
      <c r="O253" s="82" t="s">
        <v>43</v>
      </c>
      <c r="P253" s="66"/>
    </row>
    <row r="254" spans="2:16" x14ac:dyDescent="0.25">
      <c r="B254" s="136" t="str">
        <f>IF(Tilmeldingsoversigt!$C$7="x",Morgenmad," ")</f>
        <v>Morgenmad</v>
      </c>
      <c r="C254" s="67">
        <f ca="1">IF(B254=Morgenmad,Tilmeldingsoversigt!$C$15," ")</f>
        <v>16.754098360655739</v>
      </c>
      <c r="D254" s="136" t="str">
        <f>IF(Tilmeldingsoversigt!$D$7="x",Morgenmad," ")</f>
        <v>Morgenmad</v>
      </c>
      <c r="E254" s="67">
        <f ca="1">IF(D254=Morgenmad,Tilmeldingsoversigt!$C$15," ")</f>
        <v>16.754098360655739</v>
      </c>
      <c r="F254" s="136" t="str">
        <f>IF(Tilmeldingsoversigt!$E$7="x",Morgenmad," ")</f>
        <v>Morgenmad</v>
      </c>
      <c r="G254" s="67">
        <f ca="1">IF(F254=Morgenmad,Tilmeldingsoversigt!$C$15," ")</f>
        <v>16.754098360655739</v>
      </c>
      <c r="H254" s="136" t="str">
        <f>IF(Tilmeldingsoversigt!$F$7="x",Morgenmad," ")</f>
        <v>Morgenmad</v>
      </c>
      <c r="I254" s="67">
        <f ca="1">IF(H254=Morgenmad,Tilmeldingsoversigt!$C$15," ")</f>
        <v>16.754098360655739</v>
      </c>
      <c r="J254" s="136" t="str">
        <f>IF(Tilmeldingsoversigt!$G$7="x",Morgenmad," ")</f>
        <v>Morgenmad</v>
      </c>
      <c r="K254" s="67">
        <f ca="1">IF(J254=Morgenmad,Tilmeldingsoversigt!$C$15," ")</f>
        <v>16.754098360655739</v>
      </c>
      <c r="L254" s="136" t="str">
        <f>IF(Tilmeldingsoversigt!$H$7="x",Morgenmad," ")</f>
        <v>Morgenmad</v>
      </c>
      <c r="M254" s="67">
        <f ca="1">IF(L254=Morgenmad,Tilmeldingsoversigt!$C$15," ")</f>
        <v>16.754098360655739</v>
      </c>
      <c r="N254" s="136" t="str">
        <f>IF(Tilmeldingsoversigt!$I$7="x",Morgenmad," ")</f>
        <v>Morgenmad</v>
      </c>
      <c r="O254" s="83">
        <f ca="1">IF(N254=Morgenmad,Tilmeldingsoversigt!$C$15," ")</f>
        <v>16.754098360655739</v>
      </c>
      <c r="P254" s="66"/>
    </row>
    <row r="255" spans="2:16" x14ac:dyDescent="0.25">
      <c r="B255" s="68" t="str">
        <f>IF(Tilmeldingsoversigt!$C$8="x",hovedret," ")</f>
        <v>Hovedret</v>
      </c>
      <c r="C255" s="69">
        <f ca="1">IF(B255=hovedret,Tilmeldingsoversigt!$C$16," ")</f>
        <v>55.016393442622949</v>
      </c>
      <c r="D255" s="68" t="str">
        <f>IF(Tilmeldingsoversigt!$D$8="x",hovedret," ")</f>
        <v>Hovedret</v>
      </c>
      <c r="E255" s="69">
        <f ca="1">IF(D255=hovedret,Tilmeldingsoversigt!$C$16," ")</f>
        <v>55.016393442622949</v>
      </c>
      <c r="F255" s="68" t="str">
        <f>IF(Tilmeldingsoversigt!$E$8="x",hovedret," ")</f>
        <v>Hovedret</v>
      </c>
      <c r="G255" s="69">
        <f ca="1">IF(F255=hovedret,Tilmeldingsoversigt!$C$16," ")</f>
        <v>55.016393442622949</v>
      </c>
      <c r="H255" s="68" t="str">
        <f>IF(Tilmeldingsoversigt!$F$8="x",hovedret," ")</f>
        <v>Hovedret</v>
      </c>
      <c r="I255" s="69">
        <f ca="1">IF(H255=hovedret,Tilmeldingsoversigt!$C$16," ")</f>
        <v>55.016393442622949</v>
      </c>
      <c r="J255" s="68" t="str">
        <f>IF(Tilmeldingsoversigt!$G$8="x",hovedret," ")</f>
        <v>Hovedret</v>
      </c>
      <c r="K255" s="69">
        <f ca="1">IF(J255=hovedret,Tilmeldingsoversigt!$C$16," ")</f>
        <v>55.016393442622949</v>
      </c>
      <c r="L255" s="68" t="str">
        <f>IF(Tilmeldingsoversigt!$H$8="x",hovedret," ")</f>
        <v>Hovedret</v>
      </c>
      <c r="M255" s="69">
        <f ca="1">IF(L255=hovedret,Tilmeldingsoversigt!$C$16," ")</f>
        <v>55.016393442622949</v>
      </c>
      <c r="N255" s="68" t="str">
        <f>IF(Tilmeldingsoversigt!$I$8="x",hovedret," ")</f>
        <v>Hovedret</v>
      </c>
      <c r="O255" s="70">
        <f ca="1">IF(N255=hovedret,Tilmeldingsoversigt!$C$16," ")</f>
        <v>55.016393442622949</v>
      </c>
      <c r="P255" s="66"/>
    </row>
    <row r="256" spans="2:16" x14ac:dyDescent="0.25">
      <c r="B256" s="68" t="str">
        <f>IF(Tilmeldingsoversigt!$C$9="x",Aftensmad," ")</f>
        <v>Aftensmad</v>
      </c>
      <c r="C256" s="69">
        <f ca="1">IF(B256=Aftensmad,Tilmeldingsoversigt!$C$17," ")</f>
        <v>27.540983606557376</v>
      </c>
      <c r="D256" s="68" t="str">
        <f>IF(Tilmeldingsoversigt!$D$9="x",Aftensmad," ")</f>
        <v>Aftensmad</v>
      </c>
      <c r="E256" s="69">
        <f ca="1">IF(D256=Aftensmad,Tilmeldingsoversigt!$C$17," ")</f>
        <v>27.540983606557376</v>
      </c>
      <c r="F256" s="68" t="str">
        <f>IF(Tilmeldingsoversigt!$E$9="x",Aftensmad," ")</f>
        <v>Aftensmad</v>
      </c>
      <c r="G256" s="69">
        <f ca="1">IF(F256=Aftensmad,Tilmeldingsoversigt!$C$17," ")</f>
        <v>27.540983606557376</v>
      </c>
      <c r="H256" s="68" t="str">
        <f>IF(Tilmeldingsoversigt!$F$9="x",Aftensmad," ")</f>
        <v>Aftensmad</v>
      </c>
      <c r="I256" s="69">
        <f ca="1">IF(H256=Aftensmad,Tilmeldingsoversigt!$C$17," ")</f>
        <v>27.540983606557376</v>
      </c>
      <c r="J256" s="68" t="str">
        <f>IF(Tilmeldingsoversigt!$G$9="x",Aftensmad," ")</f>
        <v>Aftensmad</v>
      </c>
      <c r="K256" s="69">
        <f ca="1">IF(J256=Aftensmad,Tilmeldingsoversigt!$C$17," ")</f>
        <v>27.540983606557376</v>
      </c>
      <c r="L256" s="68" t="str">
        <f>IF(Tilmeldingsoversigt!$H$9="x",Aftensmad," ")</f>
        <v>Aftensmad</v>
      </c>
      <c r="M256" s="69">
        <f ca="1">IF(L256=Aftensmad,Tilmeldingsoversigt!$C$17," ")</f>
        <v>27.540983606557376</v>
      </c>
      <c r="N256" s="68" t="str">
        <f>IF(Tilmeldingsoversigt!$I$9="x",Aftensmad," ")</f>
        <v>Aftensmad</v>
      </c>
      <c r="O256" s="70">
        <f ca="1">IF(N256=Aftensmad,Tilmeldingsoversigt!$C$17," ")</f>
        <v>27.540983606557376</v>
      </c>
      <c r="P256" s="66"/>
    </row>
    <row r="257" spans="2:16" x14ac:dyDescent="0.25">
      <c r="B257" s="68" t="str">
        <f>IF(Tilmeldingsoversigt!$C$10="x",biret," ")</f>
        <v>Biret</v>
      </c>
      <c r="C257" s="69">
        <f>IF(B257=biret,biretpris," ")</f>
        <v>0</v>
      </c>
      <c r="D257" s="68" t="str">
        <f>IF(Tilmeldingsoversigt!$D$10="x",biret," ")</f>
        <v>Biret</v>
      </c>
      <c r="E257" s="69">
        <f>IF(D257=biret,biretpris," ")</f>
        <v>0</v>
      </c>
      <c r="F257" s="68" t="str">
        <f>IF(Tilmeldingsoversigt!$E$10="x",biret," ")</f>
        <v>Biret</v>
      </c>
      <c r="G257" s="69">
        <f>IF(F257=biret,biretpris," ")</f>
        <v>0</v>
      </c>
      <c r="H257" s="68" t="str">
        <f>IF(Tilmeldingsoversigt!$F$10="x",biret," ")</f>
        <v>Biret</v>
      </c>
      <c r="I257" s="69">
        <f>IF(H257=biret,biretpris," ")</f>
        <v>0</v>
      </c>
      <c r="J257" s="68" t="str">
        <f>IF(Tilmeldingsoversigt!$G$10="x",biret," ")</f>
        <v>Biret</v>
      </c>
      <c r="K257" s="69">
        <f>IF(J257=biret,biretpris," ")</f>
        <v>0</v>
      </c>
      <c r="L257" s="68" t="str">
        <f>IF(Tilmeldingsoversigt!$H$10="x",biret," ")</f>
        <v>Biret</v>
      </c>
      <c r="M257" s="69">
        <f>IF(L257=biret,biretpris," ")</f>
        <v>0</v>
      </c>
      <c r="N257" s="68" t="str">
        <f>IF(Tilmeldingsoversigt!$I$10="x",biret," ")</f>
        <v>Biret</v>
      </c>
      <c r="O257" s="70">
        <f>IF(N257=biret,biretpris," ")</f>
        <v>0</v>
      </c>
      <c r="P257" s="66"/>
    </row>
    <row r="258" spans="2:16" x14ac:dyDescent="0.25">
      <c r="B258" s="71" t="str">
        <f>IF(Tilmeldingsoversigt!$C$11="x",mellemmåltid," ")</f>
        <v xml:space="preserve"> </v>
      </c>
      <c r="C258" s="72" t="str">
        <f>IF(B258=mellemmåltid,mellemmåltidspris," ")</f>
        <v xml:space="preserve"> </v>
      </c>
      <c r="D258" s="71" t="str">
        <f>IF(Tilmeldingsoversigt!$C$11="x",mellemmåltid," ")</f>
        <v xml:space="preserve"> </v>
      </c>
      <c r="E258" s="72" t="str">
        <f>IF(D258=mellemmåltid,mellemmåltidspris," ")</f>
        <v xml:space="preserve"> </v>
      </c>
      <c r="F258" s="71" t="str">
        <f>IF(Tilmeldingsoversigt!$C$11="x",mellemmåltid," ")</f>
        <v xml:space="preserve"> </v>
      </c>
      <c r="G258" s="72" t="str">
        <f>IF(F258=mellemmåltid,mellemmåltidspris," ")</f>
        <v xml:space="preserve"> </v>
      </c>
      <c r="H258" s="71" t="str">
        <f>IF(Tilmeldingsoversigt!$C$11="x",mellemmåltid," ")</f>
        <v xml:space="preserve"> </v>
      </c>
      <c r="I258" s="72" t="str">
        <f>IF(H258=mellemmåltid,mellemmåltidspris," ")</f>
        <v xml:space="preserve"> </v>
      </c>
      <c r="J258" s="71" t="str">
        <f>IF(Tilmeldingsoversigt!$C$11="x",mellemmåltid," ")</f>
        <v xml:space="preserve"> </v>
      </c>
      <c r="K258" s="72" t="str">
        <f>IF(J258=mellemmåltid,mellemmåltidspris," ")</f>
        <v xml:space="preserve"> </v>
      </c>
      <c r="L258" s="71" t="str">
        <f>IF(Tilmeldingsoversigt!$C$11="x",mellemmåltid," ")</f>
        <v xml:space="preserve"> </v>
      </c>
      <c r="M258" s="72" t="str">
        <f>IF(L258=mellemmåltid,mellemmåltidspris," ")</f>
        <v xml:space="preserve"> </v>
      </c>
      <c r="N258" s="71" t="str">
        <f>IF(Tilmeldingsoversigt!$C$11="x",mellemmåltid," ")</f>
        <v xml:space="preserve"> </v>
      </c>
      <c r="O258" s="73" t="str">
        <f>IF(N258=mellemmåltid,mellemmåltidspris," ")</f>
        <v xml:space="preserve"> </v>
      </c>
      <c r="P258" s="66"/>
    </row>
    <row r="259" spans="2:16" x14ac:dyDescent="0.25">
      <c r="B259" s="74" t="s">
        <v>44</v>
      </c>
      <c r="C259" s="11">
        <f ca="1">SUM(C254:C258)</f>
        <v>99.311475409836063</v>
      </c>
      <c r="D259" s="74"/>
      <c r="E259" s="11">
        <f ca="1">SUM(E254:E258)</f>
        <v>99.311475409836063</v>
      </c>
      <c r="F259" s="74"/>
      <c r="G259" s="11">
        <f ca="1">SUM(G254:G258)</f>
        <v>99.311475409836063</v>
      </c>
      <c r="H259" s="74"/>
      <c r="I259" s="11">
        <f ca="1">SUM(I254:I258)</f>
        <v>99.311475409836063</v>
      </c>
      <c r="J259" s="74"/>
      <c r="K259" s="11">
        <f ca="1">SUM(K254:K258)</f>
        <v>99.311475409836063</v>
      </c>
      <c r="L259" s="74"/>
      <c r="M259" s="11">
        <f ca="1">SUM(M254:M258)</f>
        <v>99.311475409836063</v>
      </c>
      <c r="N259" s="74"/>
      <c r="O259" s="12">
        <f ca="1">SUM(O254:O258)</f>
        <v>99.311475409836063</v>
      </c>
      <c r="P259" s="75">
        <f ca="1">SUM(C259,E259,G259,I259,K259,M259,O259)</f>
        <v>695.18032786885237</v>
      </c>
    </row>
    <row r="260" spans="2:16" x14ac:dyDescent="0.2">
      <c r="B260" s="76"/>
      <c r="C260" s="77"/>
      <c r="D260" s="77"/>
      <c r="E260" s="77"/>
      <c r="F260" s="77"/>
      <c r="G260" s="77"/>
      <c r="H260" s="77"/>
      <c r="I260" s="77"/>
      <c r="J260" s="77"/>
      <c r="K260" s="77"/>
      <c r="L260" s="77"/>
      <c r="M260" s="77"/>
      <c r="N260" s="77"/>
      <c r="O260" s="77"/>
      <c r="P260" s="76"/>
    </row>
    <row r="261" spans="2:16" ht="12.75" x14ac:dyDescent="0.25">
      <c r="B261" s="78">
        <f>N252+1</f>
        <v>13</v>
      </c>
      <c r="C261" s="79"/>
      <c r="D261" s="78">
        <f>B261+1</f>
        <v>14</v>
      </c>
      <c r="E261" s="79"/>
      <c r="F261" s="78">
        <f>D261+1</f>
        <v>15</v>
      </c>
      <c r="G261" s="79"/>
      <c r="H261" s="78">
        <f>F261+1</f>
        <v>16</v>
      </c>
      <c r="I261" s="79"/>
      <c r="J261" s="78">
        <f>H261+1</f>
        <v>17</v>
      </c>
      <c r="K261" s="79"/>
      <c r="L261" s="78">
        <f>J261+1</f>
        <v>18</v>
      </c>
      <c r="M261" s="79"/>
      <c r="N261" s="78">
        <f>L261+1</f>
        <v>19</v>
      </c>
      <c r="O261" s="79"/>
      <c r="P261" s="80"/>
    </row>
    <row r="262" spans="2:16" x14ac:dyDescent="0.25">
      <c r="B262" s="64" t="s">
        <v>42</v>
      </c>
      <c r="C262" s="81" t="s">
        <v>43</v>
      </c>
      <c r="D262" s="64" t="s">
        <v>42</v>
      </c>
      <c r="E262" s="81" t="s">
        <v>43</v>
      </c>
      <c r="F262" s="64" t="s">
        <v>42</v>
      </c>
      <c r="G262" s="81" t="s">
        <v>43</v>
      </c>
      <c r="H262" s="64" t="s">
        <v>42</v>
      </c>
      <c r="I262" s="81" t="s">
        <v>43</v>
      </c>
      <c r="J262" s="64" t="s">
        <v>42</v>
      </c>
      <c r="K262" s="81" t="s">
        <v>43</v>
      </c>
      <c r="L262" s="64" t="s">
        <v>42</v>
      </c>
      <c r="M262" s="81" t="s">
        <v>43</v>
      </c>
      <c r="N262" s="64" t="s">
        <v>42</v>
      </c>
      <c r="O262" s="82" t="s">
        <v>43</v>
      </c>
      <c r="P262" s="66"/>
    </row>
    <row r="263" spans="2:16" x14ac:dyDescent="0.25">
      <c r="B263" s="136" t="str">
        <f>IF(Tilmeldingsoversigt!$C$7="x",Morgenmad," ")</f>
        <v>Morgenmad</v>
      </c>
      <c r="C263" s="67">
        <f ca="1">IF(B263=Morgenmad,Tilmeldingsoversigt!$C$15," ")</f>
        <v>16.754098360655739</v>
      </c>
      <c r="D263" s="136" t="str">
        <f>IF(Tilmeldingsoversigt!$D$7="x",Morgenmad," ")</f>
        <v>Morgenmad</v>
      </c>
      <c r="E263" s="67">
        <f ca="1">IF(D263=Morgenmad,Tilmeldingsoversigt!$C$15," ")</f>
        <v>16.754098360655739</v>
      </c>
      <c r="F263" s="136" t="str">
        <f>IF(Tilmeldingsoversigt!$E$7="x",Morgenmad," ")</f>
        <v>Morgenmad</v>
      </c>
      <c r="G263" s="67">
        <f ca="1">IF(F263=Morgenmad,Tilmeldingsoversigt!$C$15," ")</f>
        <v>16.754098360655739</v>
      </c>
      <c r="H263" s="136" t="str">
        <f>IF(Tilmeldingsoversigt!$F$7="x",Morgenmad," ")</f>
        <v>Morgenmad</v>
      </c>
      <c r="I263" s="67">
        <f ca="1">IF(H263=Morgenmad,Tilmeldingsoversigt!$C$15," ")</f>
        <v>16.754098360655739</v>
      </c>
      <c r="J263" s="136" t="str">
        <f>IF(Tilmeldingsoversigt!$G$7="x",Morgenmad," ")</f>
        <v>Morgenmad</v>
      </c>
      <c r="K263" s="67">
        <f ca="1">IF(J263=Morgenmad,Tilmeldingsoversigt!$C$15," ")</f>
        <v>16.754098360655739</v>
      </c>
      <c r="L263" s="136" t="str">
        <f>IF(Tilmeldingsoversigt!$H$7="x",Morgenmad," ")</f>
        <v>Morgenmad</v>
      </c>
      <c r="M263" s="67">
        <f ca="1">IF(L263=Morgenmad,Tilmeldingsoversigt!$C$15," ")</f>
        <v>16.754098360655739</v>
      </c>
      <c r="N263" s="136" t="str">
        <f>IF(Tilmeldingsoversigt!$I$7="x",Morgenmad," ")</f>
        <v>Morgenmad</v>
      </c>
      <c r="O263" s="83">
        <f ca="1">IF(N263=Morgenmad,Tilmeldingsoversigt!$C$15," ")</f>
        <v>16.754098360655739</v>
      </c>
      <c r="P263" s="66"/>
    </row>
    <row r="264" spans="2:16" x14ac:dyDescent="0.25">
      <c r="B264" s="68" t="str">
        <f>IF(Tilmeldingsoversigt!$C$8="x",hovedret," ")</f>
        <v>Hovedret</v>
      </c>
      <c r="C264" s="69">
        <f ca="1">IF(B264=hovedret,Tilmeldingsoversigt!$C$16," ")</f>
        <v>55.016393442622949</v>
      </c>
      <c r="D264" s="68" t="str">
        <f>IF(Tilmeldingsoversigt!$D$8="x",hovedret," ")</f>
        <v>Hovedret</v>
      </c>
      <c r="E264" s="69">
        <f ca="1">IF(D264=hovedret,Tilmeldingsoversigt!$C$16," ")</f>
        <v>55.016393442622949</v>
      </c>
      <c r="F264" s="68" t="str">
        <f>IF(Tilmeldingsoversigt!$E$8="x",hovedret," ")</f>
        <v>Hovedret</v>
      </c>
      <c r="G264" s="69">
        <f ca="1">IF(F264=hovedret,Tilmeldingsoversigt!$C$16," ")</f>
        <v>55.016393442622949</v>
      </c>
      <c r="H264" s="68" t="str">
        <f>IF(Tilmeldingsoversigt!$F$8="x",hovedret," ")</f>
        <v>Hovedret</v>
      </c>
      <c r="I264" s="69">
        <f ca="1">IF(H264=hovedret,Tilmeldingsoversigt!$C$16," ")</f>
        <v>55.016393442622949</v>
      </c>
      <c r="J264" s="68" t="str">
        <f>IF(Tilmeldingsoversigt!$G$8="x",hovedret," ")</f>
        <v>Hovedret</v>
      </c>
      <c r="K264" s="69">
        <f ca="1">IF(J264=hovedret,Tilmeldingsoversigt!$C$16," ")</f>
        <v>55.016393442622949</v>
      </c>
      <c r="L264" s="68" t="str">
        <f>IF(Tilmeldingsoversigt!$H$8="x",hovedret," ")</f>
        <v>Hovedret</v>
      </c>
      <c r="M264" s="69">
        <f ca="1">IF(L264=hovedret,Tilmeldingsoversigt!$C$16," ")</f>
        <v>55.016393442622949</v>
      </c>
      <c r="N264" s="68" t="str">
        <f>IF(Tilmeldingsoversigt!$I$8="x",hovedret," ")</f>
        <v>Hovedret</v>
      </c>
      <c r="O264" s="70">
        <f ca="1">IF(N264=hovedret,Tilmeldingsoversigt!$C$16," ")</f>
        <v>55.016393442622949</v>
      </c>
      <c r="P264" s="66"/>
    </row>
    <row r="265" spans="2:16" x14ac:dyDescent="0.25">
      <c r="B265" s="68" t="str">
        <f>IF(Tilmeldingsoversigt!$C$9="x",Aftensmad," ")</f>
        <v>Aftensmad</v>
      </c>
      <c r="C265" s="69">
        <f ca="1">IF(B265=Aftensmad,Tilmeldingsoversigt!$C$17," ")</f>
        <v>27.540983606557376</v>
      </c>
      <c r="D265" s="68" t="str">
        <f>IF(Tilmeldingsoversigt!$D$9="x",Aftensmad," ")</f>
        <v>Aftensmad</v>
      </c>
      <c r="E265" s="69">
        <f ca="1">IF(D265=Aftensmad,Tilmeldingsoversigt!$C$17," ")</f>
        <v>27.540983606557376</v>
      </c>
      <c r="F265" s="68" t="str">
        <f>IF(Tilmeldingsoversigt!$E$9="x",Aftensmad," ")</f>
        <v>Aftensmad</v>
      </c>
      <c r="G265" s="69">
        <f ca="1">IF(F265=Aftensmad,Tilmeldingsoversigt!$C$17," ")</f>
        <v>27.540983606557376</v>
      </c>
      <c r="H265" s="68" t="str">
        <f>IF(Tilmeldingsoversigt!$F$9="x",Aftensmad," ")</f>
        <v>Aftensmad</v>
      </c>
      <c r="I265" s="69">
        <f ca="1">IF(H265=Aftensmad,Tilmeldingsoversigt!$C$17," ")</f>
        <v>27.540983606557376</v>
      </c>
      <c r="J265" s="68" t="str">
        <f>IF(Tilmeldingsoversigt!$G$9="x",Aftensmad," ")</f>
        <v>Aftensmad</v>
      </c>
      <c r="K265" s="69">
        <f ca="1">IF(J265=Aftensmad,Tilmeldingsoversigt!$C$17," ")</f>
        <v>27.540983606557376</v>
      </c>
      <c r="L265" s="68" t="str">
        <f>IF(Tilmeldingsoversigt!$H$9="x",Aftensmad," ")</f>
        <v>Aftensmad</v>
      </c>
      <c r="M265" s="69">
        <f ca="1">IF(L265=Aftensmad,Tilmeldingsoversigt!$C$17," ")</f>
        <v>27.540983606557376</v>
      </c>
      <c r="N265" s="68" t="str">
        <f>IF(Tilmeldingsoversigt!$I$9="x",Aftensmad," ")</f>
        <v>Aftensmad</v>
      </c>
      <c r="O265" s="70">
        <f ca="1">IF(N265=Aftensmad,Tilmeldingsoversigt!$C$17," ")</f>
        <v>27.540983606557376</v>
      </c>
      <c r="P265" s="66"/>
    </row>
    <row r="266" spans="2:16" x14ac:dyDescent="0.25">
      <c r="B266" s="68" t="str">
        <f>IF(Tilmeldingsoversigt!$C$10="x",biret," ")</f>
        <v>Biret</v>
      </c>
      <c r="C266" s="69">
        <f>IF(B266=biret,biretpris," ")</f>
        <v>0</v>
      </c>
      <c r="D266" s="68" t="str">
        <f>IF(Tilmeldingsoversigt!$D$10="x",biret," ")</f>
        <v>Biret</v>
      </c>
      <c r="E266" s="69">
        <f>IF(D266=biret,biretpris," ")</f>
        <v>0</v>
      </c>
      <c r="F266" s="68" t="str">
        <f>IF(Tilmeldingsoversigt!$E$10="x",biret," ")</f>
        <v>Biret</v>
      </c>
      <c r="G266" s="69">
        <f>IF(F266=biret,biretpris," ")</f>
        <v>0</v>
      </c>
      <c r="H266" s="68" t="str">
        <f>IF(Tilmeldingsoversigt!$F$10="x",biret," ")</f>
        <v>Biret</v>
      </c>
      <c r="I266" s="69">
        <f>IF(H266=biret,biretpris," ")</f>
        <v>0</v>
      </c>
      <c r="J266" s="68" t="str">
        <f>IF(Tilmeldingsoversigt!$G$10="x",biret," ")</f>
        <v>Biret</v>
      </c>
      <c r="K266" s="69">
        <f>IF(J266=biret,biretpris," ")</f>
        <v>0</v>
      </c>
      <c r="L266" s="68" t="str">
        <f>IF(Tilmeldingsoversigt!$H$10="x",biret," ")</f>
        <v>Biret</v>
      </c>
      <c r="M266" s="69">
        <f>IF(L266=biret,biretpris," ")</f>
        <v>0</v>
      </c>
      <c r="N266" s="68" t="str">
        <f>IF(Tilmeldingsoversigt!$I$10="x",biret," ")</f>
        <v>Biret</v>
      </c>
      <c r="O266" s="70">
        <f>IF(N266=biret,biretpris," ")</f>
        <v>0</v>
      </c>
      <c r="P266" s="66"/>
    </row>
    <row r="267" spans="2:16" x14ac:dyDescent="0.25">
      <c r="B267" s="71" t="str">
        <f>IF(Tilmeldingsoversigt!$C$11="x",mellemmåltid," ")</f>
        <v xml:space="preserve"> </v>
      </c>
      <c r="C267" s="72" t="str">
        <f>IF(B267=mellemmåltid,mellemmåltidspris," ")</f>
        <v xml:space="preserve"> </v>
      </c>
      <c r="D267" s="71" t="str">
        <f>IF(Tilmeldingsoversigt!$C$11="x",mellemmåltid," ")</f>
        <v xml:space="preserve"> </v>
      </c>
      <c r="E267" s="72" t="str">
        <f>IF(D267=mellemmåltid,mellemmåltidspris," ")</f>
        <v xml:space="preserve"> </v>
      </c>
      <c r="F267" s="71" t="str">
        <f>IF(Tilmeldingsoversigt!$C$11="x",mellemmåltid," ")</f>
        <v xml:space="preserve"> </v>
      </c>
      <c r="G267" s="72" t="str">
        <f>IF(F267=mellemmåltid,mellemmåltidspris," ")</f>
        <v xml:space="preserve"> </v>
      </c>
      <c r="H267" s="71" t="str">
        <f>IF(Tilmeldingsoversigt!$C$11="x",mellemmåltid," ")</f>
        <v xml:space="preserve"> </v>
      </c>
      <c r="I267" s="72" t="str">
        <f>IF(H267=mellemmåltid,mellemmåltidspris," ")</f>
        <v xml:space="preserve"> </v>
      </c>
      <c r="J267" s="71" t="str">
        <f>IF(Tilmeldingsoversigt!$C$11="x",mellemmåltid," ")</f>
        <v xml:space="preserve"> </v>
      </c>
      <c r="K267" s="72" t="str">
        <f>IF(J267=mellemmåltid,mellemmåltidspris," ")</f>
        <v xml:space="preserve"> </v>
      </c>
      <c r="L267" s="71" t="str">
        <f>IF(Tilmeldingsoversigt!$C$11="x",mellemmåltid," ")</f>
        <v xml:space="preserve"> </v>
      </c>
      <c r="M267" s="72" t="str">
        <f>IF(L267=mellemmåltid,mellemmåltidspris," ")</f>
        <v xml:space="preserve"> </v>
      </c>
      <c r="N267" s="71" t="str">
        <f>IF(Tilmeldingsoversigt!$C$11="x",mellemmåltid," ")</f>
        <v xml:space="preserve"> </v>
      </c>
      <c r="O267" s="73" t="str">
        <f>IF(N267=mellemmåltid,mellemmåltidspris," ")</f>
        <v xml:space="preserve"> </v>
      </c>
      <c r="P267" s="66"/>
    </row>
    <row r="268" spans="2:16" x14ac:dyDescent="0.25">
      <c r="B268" s="84" t="s">
        <v>44</v>
      </c>
      <c r="C268" s="11">
        <f ca="1">SUM(C263:C267)</f>
        <v>99.311475409836063</v>
      </c>
      <c r="D268" s="74"/>
      <c r="E268" s="11">
        <f ca="1">SUM(E263:E267)</f>
        <v>99.311475409836063</v>
      </c>
      <c r="F268" s="74"/>
      <c r="G268" s="11">
        <f ca="1">SUM(G263:G267)</f>
        <v>99.311475409836063</v>
      </c>
      <c r="H268" s="74"/>
      <c r="I268" s="11">
        <f ca="1">SUM(I263:I267)</f>
        <v>99.311475409836063</v>
      </c>
      <c r="J268" s="74"/>
      <c r="K268" s="11">
        <f ca="1">SUM(K263:K267)</f>
        <v>99.311475409836063</v>
      </c>
      <c r="L268" s="74"/>
      <c r="M268" s="11">
        <f ca="1">SUM(M263:M267)</f>
        <v>99.311475409836063</v>
      </c>
      <c r="N268" s="74"/>
      <c r="O268" s="12">
        <f ca="1">SUM(O263:O267)</f>
        <v>99.311475409836063</v>
      </c>
      <c r="P268" s="75">
        <f ca="1">SUM(C268,E268,G268,I268,K268,M268,O268)</f>
        <v>695.18032786885237</v>
      </c>
    </row>
    <row r="269" spans="2:16" x14ac:dyDescent="0.2">
      <c r="B269" s="76"/>
      <c r="C269" s="77"/>
      <c r="D269" s="77"/>
      <c r="E269" s="77"/>
      <c r="F269" s="77"/>
      <c r="G269" s="77"/>
      <c r="H269" s="77"/>
      <c r="I269" s="77"/>
      <c r="J269" s="77"/>
      <c r="K269" s="77"/>
      <c r="L269" s="77"/>
      <c r="M269" s="77"/>
      <c r="N269" s="77"/>
      <c r="O269" s="77"/>
      <c r="P269" s="76"/>
    </row>
    <row r="270" spans="2:16" ht="12.75" x14ac:dyDescent="0.25">
      <c r="B270" s="78">
        <f>N261+1</f>
        <v>20</v>
      </c>
      <c r="C270" s="79"/>
      <c r="D270" s="78">
        <f>B270+1</f>
        <v>21</v>
      </c>
      <c r="E270" s="79"/>
      <c r="F270" s="78">
        <f>D270+1</f>
        <v>22</v>
      </c>
      <c r="G270" s="79"/>
      <c r="H270" s="78">
        <f>F270+1</f>
        <v>23</v>
      </c>
      <c r="I270" s="79"/>
      <c r="J270" s="78">
        <f>H270+1</f>
        <v>24</v>
      </c>
      <c r="K270" s="79"/>
      <c r="L270" s="78">
        <f>J270+1</f>
        <v>25</v>
      </c>
      <c r="M270" s="79"/>
      <c r="N270" s="78">
        <f>L270+1</f>
        <v>26</v>
      </c>
      <c r="O270" s="79"/>
      <c r="P270" s="80"/>
    </row>
    <row r="271" spans="2:16" x14ac:dyDescent="0.25">
      <c r="B271" s="64" t="s">
        <v>42</v>
      </c>
      <c r="C271" s="81" t="s">
        <v>43</v>
      </c>
      <c r="D271" s="64" t="s">
        <v>42</v>
      </c>
      <c r="E271" s="81" t="s">
        <v>43</v>
      </c>
      <c r="F271" s="64" t="s">
        <v>42</v>
      </c>
      <c r="G271" s="81" t="s">
        <v>43</v>
      </c>
      <c r="H271" s="64" t="s">
        <v>42</v>
      </c>
      <c r="I271" s="81" t="s">
        <v>43</v>
      </c>
      <c r="J271" s="64" t="s">
        <v>42</v>
      </c>
      <c r="K271" s="81" t="s">
        <v>43</v>
      </c>
      <c r="L271" s="64" t="s">
        <v>42</v>
      </c>
      <c r="M271" s="81" t="s">
        <v>43</v>
      </c>
      <c r="N271" s="64" t="s">
        <v>42</v>
      </c>
      <c r="O271" s="82" t="s">
        <v>43</v>
      </c>
      <c r="P271" s="66"/>
    </row>
    <row r="272" spans="2:16" x14ac:dyDescent="0.25">
      <c r="B272" s="136" t="str">
        <f>IF(Tilmeldingsoversigt!$C$7="x",Morgenmad," ")</f>
        <v>Morgenmad</v>
      </c>
      <c r="C272" s="67">
        <f ca="1">IF(B272=Morgenmad,Tilmeldingsoversigt!$C$15," ")</f>
        <v>16.754098360655739</v>
      </c>
      <c r="D272" s="136" t="str">
        <f>IF(Tilmeldingsoversigt!$D$7="x",Morgenmad," ")</f>
        <v>Morgenmad</v>
      </c>
      <c r="E272" s="67">
        <f ca="1">IF(D272=Morgenmad,Tilmeldingsoversigt!$C$15," ")</f>
        <v>16.754098360655739</v>
      </c>
      <c r="F272" s="136" t="str">
        <f>IF(Tilmeldingsoversigt!$E$7="x",Morgenmad," ")</f>
        <v>Morgenmad</v>
      </c>
      <c r="G272" s="67">
        <f ca="1">IF(F272=Morgenmad,Tilmeldingsoversigt!$C$15," ")</f>
        <v>16.754098360655739</v>
      </c>
      <c r="H272" s="136" t="str">
        <f>IF(Tilmeldingsoversigt!$F$7="x",Morgenmad," ")</f>
        <v>Morgenmad</v>
      </c>
      <c r="I272" s="67">
        <f ca="1">IF(H272=Morgenmad,Tilmeldingsoversigt!$C$15," ")</f>
        <v>16.754098360655739</v>
      </c>
      <c r="J272" s="136" t="str">
        <f>IF(Tilmeldingsoversigt!$G$7="x",Morgenmad," ")</f>
        <v>Morgenmad</v>
      </c>
      <c r="K272" s="67">
        <f ca="1">IF(J272=Morgenmad,Tilmeldingsoversigt!$C$15," ")</f>
        <v>16.754098360655739</v>
      </c>
      <c r="L272" s="136" t="str">
        <f>IF(Tilmeldingsoversigt!$H$7="x",Morgenmad," ")</f>
        <v>Morgenmad</v>
      </c>
      <c r="M272" s="67">
        <f ca="1">IF(L272=Morgenmad,Tilmeldingsoversigt!$C$15," ")</f>
        <v>16.754098360655739</v>
      </c>
      <c r="N272" s="136" t="str">
        <f>IF(Tilmeldingsoversigt!$I$7="x",Morgenmad," ")</f>
        <v>Morgenmad</v>
      </c>
      <c r="O272" s="83">
        <f ca="1">IF(N272=Morgenmad,Tilmeldingsoversigt!$C$15," ")</f>
        <v>16.754098360655739</v>
      </c>
      <c r="P272" s="66"/>
    </row>
    <row r="273" spans="2:16" x14ac:dyDescent="0.25">
      <c r="B273" s="68" t="str">
        <f>IF(Tilmeldingsoversigt!$C$8="x",hovedret," ")</f>
        <v>Hovedret</v>
      </c>
      <c r="C273" s="69">
        <f ca="1">IF(B273=hovedret,Tilmeldingsoversigt!$C$16," ")</f>
        <v>55.016393442622949</v>
      </c>
      <c r="D273" s="68" t="str">
        <f>IF(Tilmeldingsoversigt!$D$8="x",hovedret," ")</f>
        <v>Hovedret</v>
      </c>
      <c r="E273" s="69">
        <f ca="1">IF(D273=hovedret,Tilmeldingsoversigt!$C$16," ")</f>
        <v>55.016393442622949</v>
      </c>
      <c r="F273" s="68" t="str">
        <f>IF(Tilmeldingsoversigt!$E$8="x",hovedret," ")</f>
        <v>Hovedret</v>
      </c>
      <c r="G273" s="69">
        <f ca="1">IF(F273=hovedret,Tilmeldingsoversigt!$C$16," ")</f>
        <v>55.016393442622949</v>
      </c>
      <c r="H273" s="68" t="str">
        <f>IF(Tilmeldingsoversigt!$F$8="x",hovedret," ")</f>
        <v>Hovedret</v>
      </c>
      <c r="I273" s="69">
        <f ca="1">IF(H273=hovedret,Tilmeldingsoversigt!$C$16," ")</f>
        <v>55.016393442622949</v>
      </c>
      <c r="J273" s="68" t="str">
        <f>IF(Tilmeldingsoversigt!$G$8="x",hovedret," ")</f>
        <v>Hovedret</v>
      </c>
      <c r="K273" s="69">
        <f ca="1">IF(J273=hovedret,Tilmeldingsoversigt!$C$16," ")</f>
        <v>55.016393442622949</v>
      </c>
      <c r="L273" s="68" t="str">
        <f>IF(Tilmeldingsoversigt!$H$8="x",hovedret," ")</f>
        <v>Hovedret</v>
      </c>
      <c r="M273" s="69">
        <f ca="1">IF(L273=hovedret,Tilmeldingsoversigt!$C$16," ")</f>
        <v>55.016393442622949</v>
      </c>
      <c r="N273" s="68" t="str">
        <f>IF(Tilmeldingsoversigt!$I$8="x",hovedret," ")</f>
        <v>Hovedret</v>
      </c>
      <c r="O273" s="70">
        <f ca="1">IF(N273=hovedret,Tilmeldingsoversigt!$C$16," ")</f>
        <v>55.016393442622949</v>
      </c>
      <c r="P273" s="66"/>
    </row>
    <row r="274" spans="2:16" x14ac:dyDescent="0.25">
      <c r="B274" s="68" t="str">
        <f>IF(Tilmeldingsoversigt!$C$9="x",Aftensmad," ")</f>
        <v>Aftensmad</v>
      </c>
      <c r="C274" s="69">
        <f ca="1">IF(B274=Aftensmad,Tilmeldingsoversigt!$C$17," ")</f>
        <v>27.540983606557376</v>
      </c>
      <c r="D274" s="68" t="str">
        <f>IF(Tilmeldingsoversigt!$D$9="x",Aftensmad," ")</f>
        <v>Aftensmad</v>
      </c>
      <c r="E274" s="69">
        <f ca="1">IF(D274=Aftensmad,Tilmeldingsoversigt!$C$17," ")</f>
        <v>27.540983606557376</v>
      </c>
      <c r="F274" s="68" t="str">
        <f>IF(Tilmeldingsoversigt!$E$9="x",Aftensmad," ")</f>
        <v>Aftensmad</v>
      </c>
      <c r="G274" s="69">
        <f ca="1">IF(F274=Aftensmad,Tilmeldingsoversigt!$C$17," ")</f>
        <v>27.540983606557376</v>
      </c>
      <c r="H274" s="68" t="str">
        <f>IF(Tilmeldingsoversigt!$F$9="x",Aftensmad," ")</f>
        <v>Aftensmad</v>
      </c>
      <c r="I274" s="69">
        <f ca="1">IF(H274=Aftensmad,Tilmeldingsoversigt!$C$17," ")</f>
        <v>27.540983606557376</v>
      </c>
      <c r="J274" s="68" t="str">
        <f>IF(Tilmeldingsoversigt!$G$9="x",Aftensmad," ")</f>
        <v>Aftensmad</v>
      </c>
      <c r="K274" s="69">
        <f ca="1">IF(J274=Aftensmad,Tilmeldingsoversigt!$C$17," ")</f>
        <v>27.540983606557376</v>
      </c>
      <c r="L274" s="68" t="str">
        <f>IF(Tilmeldingsoversigt!$H$9="x",Aftensmad," ")</f>
        <v>Aftensmad</v>
      </c>
      <c r="M274" s="69">
        <f ca="1">IF(L274=Aftensmad,Tilmeldingsoversigt!$C$17," ")</f>
        <v>27.540983606557376</v>
      </c>
      <c r="N274" s="68" t="str">
        <f>IF(Tilmeldingsoversigt!$I$9="x",Aftensmad," ")</f>
        <v>Aftensmad</v>
      </c>
      <c r="O274" s="70">
        <f ca="1">IF(N274=Aftensmad,Tilmeldingsoversigt!$C$17," ")</f>
        <v>27.540983606557376</v>
      </c>
      <c r="P274" s="66"/>
    </row>
    <row r="275" spans="2:16" x14ac:dyDescent="0.25">
      <c r="B275" s="68" t="str">
        <f>IF(Tilmeldingsoversigt!$C$10="x",biret," ")</f>
        <v>Biret</v>
      </c>
      <c r="C275" s="69">
        <f>IF(B275=biret,biretpris," ")</f>
        <v>0</v>
      </c>
      <c r="D275" s="68" t="str">
        <f>IF(Tilmeldingsoversigt!$D$10="x",biret," ")</f>
        <v>Biret</v>
      </c>
      <c r="E275" s="69">
        <f>IF(D275=biret,biretpris," ")</f>
        <v>0</v>
      </c>
      <c r="F275" s="68" t="str">
        <f>IF(Tilmeldingsoversigt!$E$10="x",biret," ")</f>
        <v>Biret</v>
      </c>
      <c r="G275" s="69">
        <f>IF(F275=biret,biretpris," ")</f>
        <v>0</v>
      </c>
      <c r="H275" s="68" t="str">
        <f>IF(Tilmeldingsoversigt!$F$10="x",biret," ")</f>
        <v>Biret</v>
      </c>
      <c r="I275" s="69">
        <f>IF(H275=biret,biretpris," ")</f>
        <v>0</v>
      </c>
      <c r="J275" s="68" t="str">
        <f>IF(Tilmeldingsoversigt!$G$10="x",biret," ")</f>
        <v>Biret</v>
      </c>
      <c r="K275" s="69">
        <f>IF(J275=biret,biretpris," ")</f>
        <v>0</v>
      </c>
      <c r="L275" s="68" t="str">
        <f>IF(Tilmeldingsoversigt!$H$10="x",biret," ")</f>
        <v>Biret</v>
      </c>
      <c r="M275" s="69">
        <f>IF(L275=biret,biretpris," ")</f>
        <v>0</v>
      </c>
      <c r="N275" s="68" t="str">
        <f>IF(Tilmeldingsoversigt!$I$10="x",biret," ")</f>
        <v>Biret</v>
      </c>
      <c r="O275" s="70">
        <f>IF(N275=biret,biretpris," ")</f>
        <v>0</v>
      </c>
      <c r="P275" s="66"/>
    </row>
    <row r="276" spans="2:16" x14ac:dyDescent="0.25">
      <c r="B276" s="71" t="str">
        <f>IF(Tilmeldingsoversigt!$C$11="x",mellemmåltid," ")</f>
        <v xml:space="preserve"> </v>
      </c>
      <c r="C276" s="72" t="str">
        <f>IF(B276=mellemmåltid,mellemmåltidspris," ")</f>
        <v xml:space="preserve"> </v>
      </c>
      <c r="D276" s="71" t="str">
        <f>IF(Tilmeldingsoversigt!$C$11="x",mellemmåltid," ")</f>
        <v xml:space="preserve"> </v>
      </c>
      <c r="E276" s="72" t="str">
        <f>IF(D276=mellemmåltid,mellemmåltidspris," ")</f>
        <v xml:space="preserve"> </v>
      </c>
      <c r="F276" s="71" t="str">
        <f>IF(Tilmeldingsoversigt!$C$11="x",mellemmåltid," ")</f>
        <v xml:space="preserve"> </v>
      </c>
      <c r="G276" s="72" t="str">
        <f>IF(F276=mellemmåltid,mellemmåltidspris," ")</f>
        <v xml:space="preserve"> </v>
      </c>
      <c r="H276" s="71" t="str">
        <f>IF(Tilmeldingsoversigt!$C$11="x",mellemmåltid," ")</f>
        <v xml:space="preserve"> </v>
      </c>
      <c r="I276" s="72" t="str">
        <f>IF(H276=mellemmåltid,mellemmåltidspris," ")</f>
        <v xml:space="preserve"> </v>
      </c>
      <c r="J276" s="71" t="str">
        <f>IF(Tilmeldingsoversigt!$C$11="x",mellemmåltid," ")</f>
        <v xml:space="preserve"> </v>
      </c>
      <c r="K276" s="72" t="str">
        <f>IF(J276=mellemmåltid,mellemmåltidspris," ")</f>
        <v xml:space="preserve"> </v>
      </c>
      <c r="L276" s="71" t="str">
        <f>IF(Tilmeldingsoversigt!$C$11="x",mellemmåltid," ")</f>
        <v xml:space="preserve"> </v>
      </c>
      <c r="M276" s="72" t="str">
        <f>IF(L276=mellemmåltid,mellemmåltidspris," ")</f>
        <v xml:space="preserve"> </v>
      </c>
      <c r="N276" s="71" t="str">
        <f>IF(Tilmeldingsoversigt!$C$11="x",mellemmåltid," ")</f>
        <v xml:space="preserve"> </v>
      </c>
      <c r="O276" s="73" t="str">
        <f>IF(N276=mellemmåltid,mellemmåltidspris," ")</f>
        <v xml:space="preserve"> </v>
      </c>
      <c r="P276" s="66"/>
    </row>
    <row r="277" spans="2:16" x14ac:dyDescent="0.25">
      <c r="B277" s="74" t="s">
        <v>44</v>
      </c>
      <c r="C277" s="11">
        <f ca="1">SUM(C272:C276)</f>
        <v>99.311475409836063</v>
      </c>
      <c r="D277" s="74"/>
      <c r="E277" s="11">
        <f ca="1">SUM(E272:E276)</f>
        <v>99.311475409836063</v>
      </c>
      <c r="F277" s="74"/>
      <c r="G277" s="11">
        <f ca="1">SUM(G272:G276)</f>
        <v>99.311475409836063</v>
      </c>
      <c r="H277" s="74"/>
      <c r="I277" s="11">
        <f ca="1">SUM(I272:I276)</f>
        <v>99.311475409836063</v>
      </c>
      <c r="J277" s="74"/>
      <c r="K277" s="11">
        <f ca="1">SUM(K272:K276)</f>
        <v>99.311475409836063</v>
      </c>
      <c r="L277" s="74"/>
      <c r="M277" s="11">
        <f ca="1">SUM(M272:M276)</f>
        <v>99.311475409836063</v>
      </c>
      <c r="N277" s="74"/>
      <c r="O277" s="12">
        <f ca="1">SUM(O272:O276)</f>
        <v>99.311475409836063</v>
      </c>
      <c r="P277" s="75">
        <f ca="1">SUM(C277,E277,G277,I277,K277,M277,O277)</f>
        <v>695.18032786885237</v>
      </c>
    </row>
    <row r="278" spans="2:16" x14ac:dyDescent="0.2">
      <c r="B278" s="76"/>
      <c r="C278" s="77"/>
      <c r="D278" s="77"/>
      <c r="E278" s="77"/>
      <c r="F278" s="77"/>
      <c r="G278" s="77"/>
      <c r="H278" s="77"/>
      <c r="I278" s="77"/>
      <c r="J278" s="77"/>
      <c r="K278" s="77"/>
      <c r="L278" s="77"/>
      <c r="M278" s="77"/>
      <c r="N278" s="77"/>
      <c r="O278" s="77"/>
      <c r="P278" s="76"/>
    </row>
    <row r="279" spans="2:16" ht="12.75" x14ac:dyDescent="0.25">
      <c r="B279" s="78">
        <f>DAY(IF(DAY(MajSøn1)=1,MajSøn1+22,MajSøn1+29))</f>
        <v>27</v>
      </c>
      <c r="C279" s="79"/>
      <c r="D279" s="78">
        <f>DAY(IF(DAY(MajSøn1)=1,MajSøn1+23,MajSøn1+30))</f>
        <v>28</v>
      </c>
      <c r="E279" s="79"/>
      <c r="F279" s="78">
        <f>DAY(IF(DAY(MajSøn1)=1,MajSøn1+24,MajSøn1+31))</f>
        <v>29</v>
      </c>
      <c r="G279" s="79"/>
      <c r="H279" s="78">
        <f>DAY(IF(DAY(MajSøn1)=1,MajSøn1+25,MajSøn1+32))</f>
        <v>30</v>
      </c>
      <c r="I279" s="79"/>
      <c r="J279" s="78">
        <f>DAY(IF(DAY(MajSøn1)=1,MajSøn1+26,MajSøn1+33))</f>
        <v>31</v>
      </c>
      <c r="K279" s="79"/>
      <c r="L279" s="78">
        <f>DAY(IF(DAY(MajSøn1)=1,MajSøn1+27,MajSøn1+34))</f>
        <v>1</v>
      </c>
      <c r="M279" s="79"/>
      <c r="N279" s="78">
        <f>DAY(IF(DAY(MajSøn1)=1,MajSøn1+28,MajSøn1+35))</f>
        <v>2</v>
      </c>
      <c r="O279" s="79"/>
      <c r="P279" s="85"/>
    </row>
    <row r="280" spans="2:16" x14ac:dyDescent="0.25">
      <c r="B280" s="64" t="s">
        <v>42</v>
      </c>
      <c r="C280" s="81" t="s">
        <v>43</v>
      </c>
      <c r="D280" s="64" t="s">
        <v>42</v>
      </c>
      <c r="E280" s="81" t="s">
        <v>43</v>
      </c>
      <c r="F280" s="64" t="s">
        <v>42</v>
      </c>
      <c r="G280" s="81" t="s">
        <v>43</v>
      </c>
      <c r="H280" s="64" t="s">
        <v>42</v>
      </c>
      <c r="I280" s="81" t="s">
        <v>43</v>
      </c>
      <c r="J280" s="64" t="s">
        <v>42</v>
      </c>
      <c r="K280" s="81" t="s">
        <v>43</v>
      </c>
      <c r="L280" s="64" t="s">
        <v>42</v>
      </c>
      <c r="M280" s="81" t="s">
        <v>43</v>
      </c>
      <c r="N280" s="64" t="s">
        <v>42</v>
      </c>
      <c r="O280" s="82" t="s">
        <v>43</v>
      </c>
      <c r="P280" s="66"/>
    </row>
    <row r="281" spans="2:16" x14ac:dyDescent="0.25">
      <c r="B281" s="136" t="str">
        <f>IF(Tilmeldingsoversigt!$C$7="x",Morgenmad," ")</f>
        <v>Morgenmad</v>
      </c>
      <c r="C281" s="67">
        <f ca="1">IF(B281=Morgenmad,Tilmeldingsoversigt!$C$15," ")</f>
        <v>16.754098360655739</v>
      </c>
      <c r="D281" s="136" t="str">
        <f>IF(Tilmeldingsoversigt!$D$7="x",Morgenmad," ")</f>
        <v>Morgenmad</v>
      </c>
      <c r="E281" s="67">
        <f ca="1">IF(D281=Morgenmad,Tilmeldingsoversigt!$C$15," ")</f>
        <v>16.754098360655739</v>
      </c>
      <c r="F281" s="136" t="str">
        <f>IF(Tilmeldingsoversigt!$E$7="x",Morgenmad," ")</f>
        <v>Morgenmad</v>
      </c>
      <c r="G281" s="67">
        <f ca="1">IF(F281=Morgenmad,Tilmeldingsoversigt!$C$15," ")</f>
        <v>16.754098360655739</v>
      </c>
      <c r="H281" s="136" t="str">
        <f>IF(Tilmeldingsoversigt!$F$7="x",Morgenmad," ")</f>
        <v>Morgenmad</v>
      </c>
      <c r="I281" s="67">
        <f ca="1">IF(H281=Morgenmad,Tilmeldingsoversigt!$C$15," ")</f>
        <v>16.754098360655739</v>
      </c>
      <c r="J281" s="136" t="str">
        <f>IF(Tilmeldingsoversigt!$G$7="x",Morgenmad," ")</f>
        <v>Morgenmad</v>
      </c>
      <c r="K281" s="67">
        <f ca="1">IF(J281=Morgenmad,Tilmeldingsoversigt!$C$15," ")</f>
        <v>16.754098360655739</v>
      </c>
      <c r="L281" s="136" t="str">
        <f>IF(Tilmeldingsoversigt!$H$7="x",Morgenmad," ")</f>
        <v>Morgenmad</v>
      </c>
      <c r="M281" s="67">
        <f ca="1">IF(L281=Morgenmad,Tilmeldingsoversigt!$C$15," ")</f>
        <v>16.754098360655739</v>
      </c>
      <c r="N281" s="139" t="str">
        <f>IF(Tilmeldingsoversigt!$I$7="x",Morgenmad," ")</f>
        <v>Morgenmad</v>
      </c>
      <c r="O281" s="86">
        <f ca="1">IF(N281=Morgenmad,Tilmeldingsoversigt!$C$15," ")</f>
        <v>16.754098360655739</v>
      </c>
      <c r="P281" s="66"/>
    </row>
    <row r="282" spans="2:16" x14ac:dyDescent="0.25">
      <c r="B282" s="68" t="str">
        <f>IF(Tilmeldingsoversigt!$C$8="x",hovedret," ")</f>
        <v>Hovedret</v>
      </c>
      <c r="C282" s="69">
        <f ca="1">IF(B282=hovedret,Tilmeldingsoversigt!$C$16," ")</f>
        <v>55.016393442622949</v>
      </c>
      <c r="D282" s="68" t="str">
        <f>IF(Tilmeldingsoversigt!$D$8="x",hovedret," ")</f>
        <v>Hovedret</v>
      </c>
      <c r="E282" s="69">
        <f ca="1">IF(D282=hovedret,Tilmeldingsoversigt!$C$16," ")</f>
        <v>55.016393442622949</v>
      </c>
      <c r="F282" s="68" t="str">
        <f>IF(Tilmeldingsoversigt!$E$8="x",hovedret," ")</f>
        <v>Hovedret</v>
      </c>
      <c r="G282" s="69">
        <f ca="1">IF(F282=hovedret,Tilmeldingsoversigt!$C$16," ")</f>
        <v>55.016393442622949</v>
      </c>
      <c r="H282" s="68" t="str">
        <f>IF(Tilmeldingsoversigt!$F$8="x",hovedret," ")</f>
        <v>Hovedret</v>
      </c>
      <c r="I282" s="69">
        <f ca="1">IF(H282=hovedret,Tilmeldingsoversigt!$C$16," ")</f>
        <v>55.016393442622949</v>
      </c>
      <c r="J282" s="68" t="str">
        <f>IF(Tilmeldingsoversigt!$G$8="x",hovedret," ")</f>
        <v>Hovedret</v>
      </c>
      <c r="K282" s="69">
        <f ca="1">IF(J282=hovedret,Tilmeldingsoversigt!$C$16," ")</f>
        <v>55.016393442622949</v>
      </c>
      <c r="L282" s="68" t="str">
        <f>IF(Tilmeldingsoversigt!$H$8="x",hovedret," ")</f>
        <v>Hovedret</v>
      </c>
      <c r="M282" s="69">
        <f ca="1">IF(L282=hovedret,Tilmeldingsoversigt!$C$16," ")</f>
        <v>55.016393442622949</v>
      </c>
      <c r="N282" s="87" t="str">
        <f>IF(Tilmeldingsoversigt!$I$8="x",hovedret," ")</f>
        <v>Hovedret</v>
      </c>
      <c r="O282" s="88">
        <f ca="1">IF(N282=hovedret,Tilmeldingsoversigt!$C$16," ")</f>
        <v>55.016393442622949</v>
      </c>
      <c r="P282" s="66"/>
    </row>
    <row r="283" spans="2:16" x14ac:dyDescent="0.25">
      <c r="B283" s="68" t="str">
        <f>IF(Tilmeldingsoversigt!$C$9="x",Aftensmad," ")</f>
        <v>Aftensmad</v>
      </c>
      <c r="C283" s="69">
        <f ca="1">IF(B283=Aftensmad,Tilmeldingsoversigt!$C$17," ")</f>
        <v>27.540983606557376</v>
      </c>
      <c r="D283" s="68" t="str">
        <f>IF(Tilmeldingsoversigt!$D$9="x",Aftensmad," ")</f>
        <v>Aftensmad</v>
      </c>
      <c r="E283" s="69">
        <f ca="1">IF(D283=Aftensmad,Tilmeldingsoversigt!$C$17," ")</f>
        <v>27.540983606557376</v>
      </c>
      <c r="F283" s="68" t="str">
        <f>IF(Tilmeldingsoversigt!$E$9="x",Aftensmad," ")</f>
        <v>Aftensmad</v>
      </c>
      <c r="G283" s="69">
        <f ca="1">IF(F283=Aftensmad,Tilmeldingsoversigt!$C$17," ")</f>
        <v>27.540983606557376</v>
      </c>
      <c r="H283" s="68" t="str">
        <f>IF(Tilmeldingsoversigt!$F$9="x",Aftensmad," ")</f>
        <v>Aftensmad</v>
      </c>
      <c r="I283" s="69">
        <f ca="1">IF(H283=Aftensmad,Tilmeldingsoversigt!$C$17," ")</f>
        <v>27.540983606557376</v>
      </c>
      <c r="J283" s="68" t="str">
        <f>IF(Tilmeldingsoversigt!$G$9="x",Aftensmad," ")</f>
        <v>Aftensmad</v>
      </c>
      <c r="K283" s="69">
        <f ca="1">IF(J283=Aftensmad,Tilmeldingsoversigt!$C$17," ")</f>
        <v>27.540983606557376</v>
      </c>
      <c r="L283" s="68" t="str">
        <f>IF(Tilmeldingsoversigt!$H$9="x",Aftensmad," ")</f>
        <v>Aftensmad</v>
      </c>
      <c r="M283" s="69">
        <f ca="1">IF(L283=Aftensmad,Tilmeldingsoversigt!$C$17," ")</f>
        <v>27.540983606557376</v>
      </c>
      <c r="N283" s="87" t="str">
        <f>IF(Tilmeldingsoversigt!$I$9="x",Aftensmad," ")</f>
        <v>Aftensmad</v>
      </c>
      <c r="O283" s="88">
        <f ca="1">IF(N283=Aftensmad,Tilmeldingsoversigt!$C$17," ")</f>
        <v>27.540983606557376</v>
      </c>
      <c r="P283" s="66"/>
    </row>
    <row r="284" spans="2:16" x14ac:dyDescent="0.25">
      <c r="B284" s="68" t="str">
        <f>IF(Tilmeldingsoversigt!$C$10="x",biret," ")</f>
        <v>Biret</v>
      </c>
      <c r="C284" s="69">
        <f>IF(B284=biret,biretpris," ")</f>
        <v>0</v>
      </c>
      <c r="D284" s="68" t="str">
        <f>IF(Tilmeldingsoversigt!$D$10="x",biret," ")</f>
        <v>Biret</v>
      </c>
      <c r="E284" s="69">
        <f>IF(D284=biret,biretpris," ")</f>
        <v>0</v>
      </c>
      <c r="F284" s="68" t="str">
        <f>IF(Tilmeldingsoversigt!$E$10="x",biret," ")</f>
        <v>Biret</v>
      </c>
      <c r="G284" s="69">
        <f>IF(F284=biret,biretpris," ")</f>
        <v>0</v>
      </c>
      <c r="H284" s="68" t="str">
        <f>IF(Tilmeldingsoversigt!$F$10="x",biret," ")</f>
        <v>Biret</v>
      </c>
      <c r="I284" s="69">
        <f>IF(H284=biret,biretpris," ")</f>
        <v>0</v>
      </c>
      <c r="J284" s="68" t="str">
        <f>IF(Tilmeldingsoversigt!$G$10="x",biret," ")</f>
        <v>Biret</v>
      </c>
      <c r="K284" s="69">
        <f>IF(J284=biret,biretpris," ")</f>
        <v>0</v>
      </c>
      <c r="L284" s="68" t="str">
        <f>IF(Tilmeldingsoversigt!$H$10="x",biret," ")</f>
        <v>Biret</v>
      </c>
      <c r="M284" s="69">
        <f>IF(L284=biret,biretpris," ")</f>
        <v>0</v>
      </c>
      <c r="N284" s="68" t="str">
        <f>IF(Tilmeldingsoversigt!$I$10="x",biret," ")</f>
        <v>Biret</v>
      </c>
      <c r="O284" s="70">
        <f>IF(N284=biret,biretpris," ")</f>
        <v>0</v>
      </c>
      <c r="P284" s="66"/>
    </row>
    <row r="285" spans="2:16" x14ac:dyDescent="0.25">
      <c r="B285" s="71" t="str">
        <f>IF(Tilmeldingsoversigt!$C$11="x",mellemmåltid," ")</f>
        <v xml:space="preserve"> </v>
      </c>
      <c r="C285" s="72" t="str">
        <f>IF(B285=mellemmåltid,mellemmåltidspris," ")</f>
        <v xml:space="preserve"> </v>
      </c>
      <c r="D285" s="71" t="str">
        <f>IF(Tilmeldingsoversigt!$C$11="x",mellemmåltid," ")</f>
        <v xml:space="preserve"> </v>
      </c>
      <c r="E285" s="72" t="str">
        <f>IF(D285=mellemmåltid,mellemmåltidspris," ")</f>
        <v xml:space="preserve"> </v>
      </c>
      <c r="F285" s="71" t="str">
        <f>IF(Tilmeldingsoversigt!$C$11="x",mellemmåltid," ")</f>
        <v xml:space="preserve"> </v>
      </c>
      <c r="G285" s="72" t="str">
        <f>IF(F285=mellemmåltid,mellemmåltidspris," ")</f>
        <v xml:space="preserve"> </v>
      </c>
      <c r="H285" s="71" t="str">
        <f>IF(Tilmeldingsoversigt!$C$11="x",mellemmåltid," ")</f>
        <v xml:space="preserve"> </v>
      </c>
      <c r="I285" s="72" t="str">
        <f>IF(H285=mellemmåltid,mellemmåltidspris," ")</f>
        <v xml:space="preserve"> </v>
      </c>
      <c r="J285" s="71" t="str">
        <f>IF(Tilmeldingsoversigt!$C$11="x",mellemmåltid," ")</f>
        <v xml:space="preserve"> </v>
      </c>
      <c r="K285" s="72" t="str">
        <f>IF(J285=mellemmåltid,mellemmåltidspris," ")</f>
        <v xml:space="preserve"> </v>
      </c>
      <c r="L285" s="71" t="str">
        <f>IF(Tilmeldingsoversigt!$C$11="x",mellemmåltid," ")</f>
        <v xml:space="preserve"> </v>
      </c>
      <c r="M285" s="72" t="str">
        <f>IF(L285=mellemmåltid,mellemmåltidspris," ")</f>
        <v xml:space="preserve"> </v>
      </c>
      <c r="N285" s="71" t="str">
        <f>IF(Tilmeldingsoversigt!$C$11="x",mellemmåltid," ")</f>
        <v xml:space="preserve"> </v>
      </c>
      <c r="O285" s="73" t="str">
        <f>IF(N285=mellemmåltid,mellemmåltidspris," ")</f>
        <v xml:space="preserve"> </v>
      </c>
      <c r="P285" s="66"/>
    </row>
    <row r="286" spans="2:16" x14ac:dyDescent="0.25">
      <c r="B286" s="74" t="s">
        <v>44</v>
      </c>
      <c r="C286" s="11">
        <f ca="1">SUM(C281:C285)</f>
        <v>99.311475409836063</v>
      </c>
      <c r="D286" s="74"/>
      <c r="E286" s="11">
        <f ca="1">SUM(E281:E285)</f>
        <v>99.311475409836063</v>
      </c>
      <c r="F286" s="74"/>
      <c r="G286" s="11">
        <f ca="1">SUM(G281:G285)</f>
        <v>99.311475409836063</v>
      </c>
      <c r="H286" s="74"/>
      <c r="I286" s="11">
        <f ca="1">SUM(I281:I285)</f>
        <v>99.311475409836063</v>
      </c>
      <c r="J286" s="74"/>
      <c r="K286" s="11">
        <f ca="1">SUM(K281:K285)</f>
        <v>99.311475409836063</v>
      </c>
      <c r="L286" s="74"/>
      <c r="M286" s="11">
        <f ca="1">SUM(M281:M285)</f>
        <v>99.311475409836063</v>
      </c>
      <c r="N286" s="74"/>
      <c r="O286" s="12">
        <f ca="1">SUM(O281:O285)</f>
        <v>99.311475409836063</v>
      </c>
      <c r="P286" s="75">
        <f ca="1">SUMIF(B279:N279,"&gt;="&amp;15,C286:O286)</f>
        <v>496.55737704918033</v>
      </c>
    </row>
    <row r="287" spans="2:16" x14ac:dyDescent="0.2">
      <c r="B287" s="76"/>
      <c r="C287" s="77"/>
      <c r="D287" s="77"/>
      <c r="E287" s="77"/>
      <c r="F287" s="77"/>
      <c r="G287" s="77"/>
      <c r="H287" s="77"/>
      <c r="I287" s="77"/>
      <c r="J287" s="77"/>
      <c r="K287" s="77"/>
      <c r="L287" s="77"/>
      <c r="M287" s="77"/>
      <c r="N287" s="77"/>
      <c r="O287" s="77"/>
      <c r="P287" s="76"/>
    </row>
    <row r="288" spans="2:16" ht="12.75" x14ac:dyDescent="0.25">
      <c r="B288" s="78">
        <f>DAY(IF(DAY(MajSøn1)=1,MajSøn1+29,MajSøn1+36))</f>
        <v>3</v>
      </c>
      <c r="C288" s="91"/>
      <c r="D288" s="78">
        <f>DAY(IF(DAY(MajSøn1)=1,MajSøn1+30,MajSøn1+37))</f>
        <v>4</v>
      </c>
      <c r="E288" s="79"/>
      <c r="F288" s="92">
        <f>DAY(IF(DAY(MajSøn1)=1,MajSøn1+31,MajSøn1+38))</f>
        <v>5</v>
      </c>
      <c r="G288" s="79"/>
      <c r="H288" s="78">
        <f>DAY(IF(DAY(MajSøn1)=1,MajSøn1+32,MajSøn1+39))</f>
        <v>6</v>
      </c>
      <c r="I288" s="79"/>
      <c r="J288" s="78">
        <f>DAY(IF(DAY(MajSøn1)=1,MajSøn1+33,MajSøn1+40))</f>
        <v>7</v>
      </c>
      <c r="K288" s="79"/>
      <c r="L288" s="78">
        <f>DAY(IF(DAY(MajSøn1)=1,MajSøn1+34,MajSøn1+41))</f>
        <v>8</v>
      </c>
      <c r="M288" s="79"/>
      <c r="N288" s="78">
        <f>DAY(IF(DAY(MajSøn1)=1,MajSøn1+35,MajSøn1+42))</f>
        <v>9</v>
      </c>
      <c r="O288" s="79"/>
      <c r="P288" s="85"/>
    </row>
    <row r="289" spans="2:16" x14ac:dyDescent="0.25">
      <c r="B289" s="64" t="s">
        <v>42</v>
      </c>
      <c r="C289" s="81" t="s">
        <v>43</v>
      </c>
      <c r="D289" s="64" t="s">
        <v>42</v>
      </c>
      <c r="E289" s="81" t="s">
        <v>43</v>
      </c>
      <c r="F289" s="64" t="s">
        <v>42</v>
      </c>
      <c r="G289" s="81" t="s">
        <v>43</v>
      </c>
      <c r="H289" s="64" t="s">
        <v>42</v>
      </c>
      <c r="I289" s="81" t="s">
        <v>43</v>
      </c>
      <c r="J289" s="64" t="s">
        <v>42</v>
      </c>
      <c r="K289" s="81" t="s">
        <v>43</v>
      </c>
      <c r="L289" s="64" t="s">
        <v>42</v>
      </c>
      <c r="M289" s="81" t="s">
        <v>43</v>
      </c>
      <c r="N289" s="64" t="s">
        <v>42</v>
      </c>
      <c r="O289" s="82" t="s">
        <v>43</v>
      </c>
      <c r="P289" s="66"/>
    </row>
    <row r="290" spans="2:16" x14ac:dyDescent="0.25">
      <c r="B290" s="136" t="str">
        <f>IF(Tilmeldingsoversigt!$C$7="x",Morgenmad," ")</f>
        <v>Morgenmad</v>
      </c>
      <c r="C290" s="67">
        <f ca="1">IF(B290=Morgenmad,Tilmeldingsoversigt!$C$15," ")</f>
        <v>16.754098360655739</v>
      </c>
      <c r="D290" s="136" t="str">
        <f>IF(Tilmeldingsoversigt!$D$7="x",Morgenmad," ")</f>
        <v>Morgenmad</v>
      </c>
      <c r="E290" s="67">
        <f ca="1">IF(D290=Morgenmad,Tilmeldingsoversigt!$C$15," ")</f>
        <v>16.754098360655739</v>
      </c>
      <c r="F290" s="136"/>
      <c r="G290" s="67"/>
      <c r="H290" s="136"/>
      <c r="I290" s="67"/>
      <c r="J290" s="136"/>
      <c r="K290" s="67"/>
      <c r="L290" s="136"/>
      <c r="M290" s="67"/>
      <c r="N290" s="136"/>
      <c r="O290" s="83"/>
      <c r="P290" s="66"/>
    </row>
    <row r="291" spans="2:16" x14ac:dyDescent="0.25">
      <c r="B291" s="68" t="str">
        <f>IF(Tilmeldingsoversigt!$C$8="x",hovedret," ")</f>
        <v>Hovedret</v>
      </c>
      <c r="C291" s="69">
        <f ca="1">IF(B291=hovedret,Tilmeldingsoversigt!$C$16," ")</f>
        <v>55.016393442622949</v>
      </c>
      <c r="D291" s="68" t="str">
        <f>IF(Tilmeldingsoversigt!$D$8="x",hovedret," ")</f>
        <v>Hovedret</v>
      </c>
      <c r="E291" s="69">
        <f ca="1">IF(D291=hovedret,Tilmeldingsoversigt!$C$16," ")</f>
        <v>55.016393442622949</v>
      </c>
      <c r="F291" s="68"/>
      <c r="G291" s="69"/>
      <c r="H291" s="68"/>
      <c r="I291" s="69"/>
      <c r="J291" s="68"/>
      <c r="K291" s="69"/>
      <c r="L291" s="68"/>
      <c r="M291" s="69"/>
      <c r="N291" s="68"/>
      <c r="O291" s="70"/>
      <c r="P291" s="66"/>
    </row>
    <row r="292" spans="2:16" x14ac:dyDescent="0.25">
      <c r="B292" s="68" t="str">
        <f>IF(Tilmeldingsoversigt!$C$9="x",Aftensmad," ")</f>
        <v>Aftensmad</v>
      </c>
      <c r="C292" s="69">
        <f ca="1">IF(B292=Aftensmad,Tilmeldingsoversigt!$C$17," ")</f>
        <v>27.540983606557376</v>
      </c>
      <c r="D292" s="68" t="str">
        <f>IF(Tilmeldingsoversigt!$D$9="x",Aftensmad," ")</f>
        <v>Aftensmad</v>
      </c>
      <c r="E292" s="69">
        <f ca="1">IF(D292=Aftensmad,Tilmeldingsoversigt!$C$17," ")</f>
        <v>27.540983606557376</v>
      </c>
      <c r="F292" s="68"/>
      <c r="G292" s="69"/>
      <c r="H292" s="68"/>
      <c r="I292" s="69"/>
      <c r="J292" s="68"/>
      <c r="K292" s="69"/>
      <c r="L292" s="68"/>
      <c r="M292" s="69"/>
      <c r="N292" s="68"/>
      <c r="O292" s="70"/>
      <c r="P292" s="66"/>
    </row>
    <row r="293" spans="2:16" x14ac:dyDescent="0.25">
      <c r="B293" s="68" t="str">
        <f>IF(Tilmeldingsoversigt!$C$10="x",biret," ")</f>
        <v>Biret</v>
      </c>
      <c r="C293" s="69">
        <f>IF(B293=biret,biretpris," ")</f>
        <v>0</v>
      </c>
      <c r="D293" s="68" t="str">
        <f>IF(Tilmeldingsoversigt!$D$10="x",biret," ")</f>
        <v>Biret</v>
      </c>
      <c r="E293" s="69">
        <f>IF(D293=biret,biretpris," ")</f>
        <v>0</v>
      </c>
      <c r="F293" s="68"/>
      <c r="G293" s="69"/>
      <c r="H293" s="68"/>
      <c r="I293" s="69"/>
      <c r="J293" s="68"/>
      <c r="K293" s="69"/>
      <c r="L293" s="68"/>
      <c r="M293" s="69"/>
      <c r="N293" s="68"/>
      <c r="O293" s="70"/>
      <c r="P293" s="66"/>
    </row>
    <row r="294" spans="2:16" x14ac:dyDescent="0.25">
      <c r="B294" s="71" t="str">
        <f>IF(Tilmeldingsoversigt!$C$11="x",mellemmåltid," ")</f>
        <v xml:space="preserve"> </v>
      </c>
      <c r="C294" s="72" t="str">
        <f>IF(B294=mellemmåltid,mellemmåltidspris," ")</f>
        <v xml:space="preserve"> </v>
      </c>
      <c r="D294" s="71" t="str">
        <f>IF(Tilmeldingsoversigt!$C$11="x",mellemmåltid," ")</f>
        <v xml:space="preserve"> </v>
      </c>
      <c r="E294" s="72" t="str">
        <f>IF(D294=mellemmåltid,mellemmåltidspris," ")</f>
        <v xml:space="preserve"> </v>
      </c>
      <c r="F294" s="71"/>
      <c r="G294" s="72"/>
      <c r="H294" s="71"/>
      <c r="I294" s="72"/>
      <c r="J294" s="71"/>
      <c r="K294" s="72"/>
      <c r="L294" s="71"/>
      <c r="M294" s="72"/>
      <c r="N294" s="71"/>
      <c r="O294" s="73"/>
      <c r="P294" s="66"/>
    </row>
    <row r="295" spans="2:16" x14ac:dyDescent="0.25">
      <c r="B295" s="74" t="s">
        <v>44</v>
      </c>
      <c r="C295" s="11">
        <f ca="1">SUM(C290:C294)</f>
        <v>99.311475409836063</v>
      </c>
      <c r="D295" s="74"/>
      <c r="E295" s="11">
        <f ca="1">SUM(E290:E294)</f>
        <v>99.311475409836063</v>
      </c>
      <c r="F295" s="74"/>
      <c r="G295" s="11">
        <f>SUM(G290:G294)</f>
        <v>0</v>
      </c>
      <c r="H295" s="74"/>
      <c r="I295" s="11">
        <f>SUM(I290:I294)</f>
        <v>0</v>
      </c>
      <c r="J295" s="74"/>
      <c r="K295" s="11">
        <f>SUM(K290:K294)</f>
        <v>0</v>
      </c>
      <c r="L295" s="74"/>
      <c r="M295" s="11">
        <f>SUM(M290:M294)</f>
        <v>0</v>
      </c>
      <c r="N295" s="74"/>
      <c r="O295" s="12">
        <f>SUM(O290:O294)</f>
        <v>0</v>
      </c>
      <c r="P295" s="75">
        <f>SUMIF(B288:N288,"&gt;="&amp;15,C295:O295)</f>
        <v>0</v>
      </c>
    </row>
    <row r="296" spans="2:16" ht="17.25" customHeight="1" x14ac:dyDescent="0.2"/>
    <row r="297" spans="2:16" ht="15" x14ac:dyDescent="0.25">
      <c r="B297" s="246" t="s">
        <v>49</v>
      </c>
      <c r="C297" s="246"/>
      <c r="D297" s="246"/>
      <c r="E297" s="246"/>
      <c r="F297" s="51" t="s">
        <v>82</v>
      </c>
      <c r="G297" s="51"/>
      <c r="H297" s="51"/>
      <c r="I297" s="51"/>
      <c r="J297" s="51"/>
      <c r="K297" s="51"/>
      <c r="L297" s="247" t="s">
        <v>83</v>
      </c>
      <c r="M297" s="247"/>
      <c r="N297" s="247" t="s">
        <v>84</v>
      </c>
      <c r="O297" s="247"/>
      <c r="P297" s="49"/>
    </row>
    <row r="298" spans="2:16" ht="25.5" customHeight="1" x14ac:dyDescent="0.25">
      <c r="B298" s="246"/>
      <c r="C298" s="246"/>
      <c r="D298" s="246"/>
      <c r="E298" s="246"/>
      <c r="F298" s="97" t="str">
        <f>Morgenmad</f>
        <v>Morgenmad</v>
      </c>
      <c r="G298" s="97">
        <f ca="1">IF(juni_sum=0,0,(COUNTIF($B$304:$O$353,F298)))-'Tilmeldte måltider'!G302</f>
        <v>0</v>
      </c>
      <c r="H298" s="97" t="str">
        <f>hovedret</f>
        <v>Hovedret</v>
      </c>
      <c r="I298" s="97">
        <f ca="1">IF(juni_sum=0,0,(COUNTIF(B303:O352,hovedret)))-'Tilmeldte måltider'!I302</f>
        <v>0</v>
      </c>
      <c r="J298" s="97" t="str">
        <f>Aftensmad</f>
        <v>Aftensmad</v>
      </c>
      <c r="K298" s="97">
        <f ca="1">IF(juni_sum=0,0,(COUNTIF(B303:O352,Aftensmad))-'Tilmeldte måltider'!K302)</f>
        <v>0</v>
      </c>
      <c r="L298" s="268" t="e">
        <f ca="1">(G298*Morgenpris)+(I298*Frokostpris)+(K298*Aftenpris)+(G299*biretpris)+(I299*mellemmåltidspris)+(M299*gæstehpris)+(O299*gæstebpris)</f>
        <v>#VALUE!</v>
      </c>
      <c r="M298" s="269"/>
      <c r="N298" s="270" t="e">
        <f ca="1">$L$3+$L$62+$L$121+$L$180+$L$239+$L$298</f>
        <v>#VALUE!</v>
      </c>
      <c r="O298" s="271"/>
      <c r="P298" s="49"/>
    </row>
    <row r="299" spans="2:16" ht="25.5" customHeight="1" x14ac:dyDescent="0.45">
      <c r="B299" s="121"/>
      <c r="C299" s="121"/>
      <c r="D299" s="121"/>
      <c r="E299" s="121"/>
      <c r="F299" s="98" t="str">
        <f>biret</f>
        <v>Biret</v>
      </c>
      <c r="G299" s="97">
        <f ca="1">IF(juni_sum=0,0,(COUNTIF($B$304:$O$353,F299)))-'Tilmeldte måltider'!G303</f>
        <v>0</v>
      </c>
      <c r="H299" s="98" t="str">
        <f>mellemmåltid</f>
        <v>Mellemmåltid</v>
      </c>
      <c r="I299" s="97">
        <f ca="1">IF(juni_sum=0,0,(COUNTIF($B$304:$O$353,H299)))-'Tilmeldte måltider'!I303</f>
        <v>0</v>
      </c>
      <c r="J299" s="140" t="s">
        <v>105</v>
      </c>
      <c r="K299" s="140"/>
      <c r="L299" s="141" t="s">
        <v>25</v>
      </c>
      <c r="M299" s="100"/>
      <c r="N299" s="141" t="s">
        <v>15</v>
      </c>
      <c r="O299" s="100"/>
      <c r="P299" s="49"/>
    </row>
    <row r="300" spans="2:16" ht="9" customHeight="1" x14ac:dyDescent="0.2">
      <c r="B300" s="251">
        <v>1</v>
      </c>
      <c r="C300" s="251"/>
      <c r="D300" s="251">
        <v>2</v>
      </c>
      <c r="E300" s="251"/>
      <c r="F300" s="251">
        <v>3</v>
      </c>
      <c r="G300" s="251"/>
      <c r="H300" s="251">
        <v>4</v>
      </c>
      <c r="I300" s="251"/>
      <c r="J300" s="251">
        <v>5</v>
      </c>
      <c r="K300" s="251"/>
      <c r="L300" s="251">
        <v>6</v>
      </c>
      <c r="M300" s="251"/>
      <c r="N300" s="251">
        <v>7</v>
      </c>
      <c r="O300" s="251"/>
      <c r="P300" s="50"/>
    </row>
    <row r="301" spans="2:16" ht="15" customHeight="1" x14ac:dyDescent="0.25">
      <c r="B301" s="252" t="s">
        <v>34</v>
      </c>
      <c r="C301" s="253"/>
      <c r="D301" s="254" t="s">
        <v>35</v>
      </c>
      <c r="E301" s="255" t="e">
        <f>IF(WEEKDAY(DATEVALUE(Month1&amp;" 1, "&amp;Year1))=COLUMN(#REF!),1,IF(LEN(C301)&gt;0,C301+1,""))</f>
        <v>#NAME?</v>
      </c>
      <c r="F301" s="253" t="s">
        <v>36</v>
      </c>
      <c r="G301" s="253" t="e">
        <f>IF(WEEKDAY(DATEVALUE(Month1&amp;" 1, "&amp;Year1))=COLUMN(#REF!),1,IF(LEN(E301)&gt;0,E301+1,""))</f>
        <v>#NAME?</v>
      </c>
      <c r="H301" s="254" t="s">
        <v>37</v>
      </c>
      <c r="I301" s="255" t="e">
        <f>IF(WEEKDAY(DATEVALUE(Month1&amp;" 1, "&amp;Year1))=COLUMN(#REF!),1,IF(LEN(G301)&gt;0,G301+1,""))</f>
        <v>#NAME?</v>
      </c>
      <c r="J301" s="256" t="s">
        <v>38</v>
      </c>
      <c r="K301" s="257" t="e">
        <f>IF(WEEKDAY(DATEVALUE(Month1&amp;" 1, "&amp;Year1))=COLUMN(#REF!),1,IF(LEN(I301)&gt;0,I301+1,""))</f>
        <v>#NAME?</v>
      </c>
      <c r="L301" s="258" t="s">
        <v>39</v>
      </c>
      <c r="M301" s="259" t="e">
        <f>IF(WEEKDAY(DATEVALUE(Month1&amp;" 1, "&amp;Year1))=COLUMN(#REF!),1,IF(LEN(K301)&gt;0,K301+1,""))</f>
        <v>#NAME?</v>
      </c>
      <c r="N301" s="258" t="s">
        <v>40</v>
      </c>
      <c r="O301" s="259" t="e">
        <f>IF(WEEKDAY(DATEVALUE(Month1&amp;" 1, "&amp;Year1))=COLUMN(#REF!),1,IF(LEN(M301)&gt;0,M301+1,""))</f>
        <v>#NAME?</v>
      </c>
      <c r="P301" s="53" t="s">
        <v>41</v>
      </c>
    </row>
    <row r="302" spans="2:16" ht="12.75" x14ac:dyDescent="0.25">
      <c r="B302" s="55">
        <f>DAY(IF(DAY(JunSøn1)=1,JunSøn1-6,JunSøn1+1))</f>
        <v>27</v>
      </c>
      <c r="C302" s="56"/>
      <c r="D302" s="57">
        <f>DAY(IF(DAY(JunSøn1)=1,JunSøn1-5,JunSøn1+2))</f>
        <v>28</v>
      </c>
      <c r="E302" s="56"/>
      <c r="F302" s="57">
        <f>DAY(IF(DAY(JunSøn1)=1,JunSøn1-4,JunSøn1+3))</f>
        <v>29</v>
      </c>
      <c r="G302" s="56"/>
      <c r="H302" s="57">
        <f>DAY(IF(DAY(JunSøn1)=1,JunSøn1-3,JunSøn1+4))</f>
        <v>30</v>
      </c>
      <c r="I302" s="56"/>
      <c r="J302" s="57">
        <f>DAY(IF(DAY(JunSøn1)=1,JunSøn1-2,JunSøn1+5))</f>
        <v>31</v>
      </c>
      <c r="K302" s="56"/>
      <c r="L302" s="57">
        <f>DAY(IF(DAY(JunSøn1)=1,JunSøn1-1,JunSøn1+6))</f>
        <v>1</v>
      </c>
      <c r="M302" s="56"/>
      <c r="N302" s="58">
        <f>DAY(IF(DAY(JunSøn1)=1,JunSøn1,JunSøn1+7))</f>
        <v>2</v>
      </c>
      <c r="O302" s="59"/>
      <c r="P302" s="60"/>
    </row>
    <row r="303" spans="2:16" x14ac:dyDescent="0.25">
      <c r="B303" s="61" t="s">
        <v>42</v>
      </c>
      <c r="C303" s="62" t="s">
        <v>43</v>
      </c>
      <c r="D303" s="63" t="s">
        <v>42</v>
      </c>
      <c r="E303" s="62" t="s">
        <v>43</v>
      </c>
      <c r="F303" s="63" t="s">
        <v>42</v>
      </c>
      <c r="G303" s="62" t="s">
        <v>43</v>
      </c>
      <c r="H303" s="63" t="s">
        <v>42</v>
      </c>
      <c r="I303" s="62" t="s">
        <v>43</v>
      </c>
      <c r="J303" s="63" t="s">
        <v>42</v>
      </c>
      <c r="K303" s="62" t="s">
        <v>43</v>
      </c>
      <c r="L303" s="63" t="s">
        <v>42</v>
      </c>
      <c r="M303" s="62" t="s">
        <v>43</v>
      </c>
      <c r="N303" s="64" t="s">
        <v>42</v>
      </c>
      <c r="O303" s="65" t="s">
        <v>43</v>
      </c>
      <c r="P303" s="66"/>
    </row>
    <row r="304" spans="2:16" x14ac:dyDescent="0.25">
      <c r="B304" s="136"/>
      <c r="C304" s="67"/>
      <c r="D304" s="136"/>
      <c r="E304" s="67"/>
      <c r="F304" s="136" t="str">
        <f>IF(Tilmeldingsoversigt!$E$7="x",Morgenmad," ")</f>
        <v>Morgenmad</v>
      </c>
      <c r="G304" s="67">
        <f ca="1">IF(F304=Morgenmad,Tilmeldingsoversigt!$C$15," ")</f>
        <v>16.754098360655739</v>
      </c>
      <c r="H304" s="136" t="str">
        <f>IF(Tilmeldingsoversigt!$F$7="x",Morgenmad," ")</f>
        <v>Morgenmad</v>
      </c>
      <c r="I304" s="67">
        <f ca="1">IF(H304=Morgenmad,Tilmeldingsoversigt!$C$15," ")</f>
        <v>16.754098360655739</v>
      </c>
      <c r="J304" s="136" t="str">
        <f>IF(Tilmeldingsoversigt!$G$7="x",Morgenmad," ")</f>
        <v>Morgenmad</v>
      </c>
      <c r="K304" s="67">
        <f ca="1">IF(J304=Morgenmad,Tilmeldingsoversigt!$C$15," ")</f>
        <v>16.754098360655739</v>
      </c>
      <c r="L304" s="136" t="str">
        <f>IF(Tilmeldingsoversigt!$H$7="x",Morgenmad," ")</f>
        <v>Morgenmad</v>
      </c>
      <c r="M304" s="67">
        <f ca="1">IF(L304=Morgenmad,Tilmeldingsoversigt!$C$15," ")</f>
        <v>16.754098360655739</v>
      </c>
      <c r="N304" s="136" t="str">
        <f>IF(Tilmeldingsoversigt!$I$7="x",Morgenmad," ")</f>
        <v>Morgenmad</v>
      </c>
      <c r="O304" s="83">
        <f ca="1">IF(N304=Morgenmad,Tilmeldingsoversigt!$C$15," ")</f>
        <v>16.754098360655739</v>
      </c>
      <c r="P304" s="66"/>
    </row>
    <row r="305" spans="2:16" x14ac:dyDescent="0.25">
      <c r="B305" s="68"/>
      <c r="C305" s="69"/>
      <c r="D305" s="68"/>
      <c r="E305" s="69"/>
      <c r="F305" s="68" t="str">
        <f>IF(Tilmeldingsoversigt!$E$8="x",hovedret," ")</f>
        <v>Hovedret</v>
      </c>
      <c r="G305" s="69">
        <f ca="1">IF(F305=hovedret,Tilmeldingsoversigt!$C$16," ")</f>
        <v>55.016393442622949</v>
      </c>
      <c r="H305" s="68" t="str">
        <f>IF(Tilmeldingsoversigt!$F$8="x",hovedret," ")</f>
        <v>Hovedret</v>
      </c>
      <c r="I305" s="69">
        <f ca="1">IF(H305=hovedret,Tilmeldingsoversigt!$C$16," ")</f>
        <v>55.016393442622949</v>
      </c>
      <c r="J305" s="68" t="str">
        <f>IF(Tilmeldingsoversigt!$G$8="x",hovedret," ")</f>
        <v>Hovedret</v>
      </c>
      <c r="K305" s="69">
        <f ca="1">IF(J305=hovedret,Tilmeldingsoversigt!$C$16," ")</f>
        <v>55.016393442622949</v>
      </c>
      <c r="L305" s="68" t="str">
        <f>IF(Tilmeldingsoversigt!$H$8="x",hovedret," ")</f>
        <v>Hovedret</v>
      </c>
      <c r="M305" s="69">
        <f ca="1">IF(L305=hovedret,Tilmeldingsoversigt!$C$16," ")</f>
        <v>55.016393442622949</v>
      </c>
      <c r="N305" s="68" t="str">
        <f>IF(Tilmeldingsoversigt!$I$8="x",hovedret," ")</f>
        <v>Hovedret</v>
      </c>
      <c r="O305" s="70">
        <f ca="1">IF(N305=hovedret,Tilmeldingsoversigt!$C$16," ")</f>
        <v>55.016393442622949</v>
      </c>
      <c r="P305" s="66"/>
    </row>
    <row r="306" spans="2:16" x14ac:dyDescent="0.25">
      <c r="B306" s="68"/>
      <c r="C306" s="69"/>
      <c r="D306" s="68"/>
      <c r="E306" s="69"/>
      <c r="F306" s="68" t="str">
        <f>IF(Tilmeldingsoversigt!$E$9="x",Aftensmad," ")</f>
        <v>Aftensmad</v>
      </c>
      <c r="G306" s="69">
        <f ca="1">IF(F306=Aftensmad,Tilmeldingsoversigt!$C$17," ")</f>
        <v>27.540983606557376</v>
      </c>
      <c r="H306" s="68" t="str">
        <f>IF(Tilmeldingsoversigt!$F$9="x",Aftensmad," ")</f>
        <v>Aftensmad</v>
      </c>
      <c r="I306" s="69">
        <f ca="1">IF(H306=Aftensmad,Tilmeldingsoversigt!$C$17," ")</f>
        <v>27.540983606557376</v>
      </c>
      <c r="J306" s="68" t="str">
        <f>IF(Tilmeldingsoversigt!$G$9="x",Aftensmad," ")</f>
        <v>Aftensmad</v>
      </c>
      <c r="K306" s="69">
        <f ca="1">IF(J306=Aftensmad,Tilmeldingsoversigt!$C$17," ")</f>
        <v>27.540983606557376</v>
      </c>
      <c r="L306" s="68" t="str">
        <f>IF(Tilmeldingsoversigt!$H$9="x",Aftensmad," ")</f>
        <v>Aftensmad</v>
      </c>
      <c r="M306" s="69">
        <f ca="1">IF(L306=Aftensmad,Tilmeldingsoversigt!$C$17," ")</f>
        <v>27.540983606557376</v>
      </c>
      <c r="N306" s="68" t="str">
        <f>IF(Tilmeldingsoversigt!$I$9="x",Aftensmad," ")</f>
        <v>Aftensmad</v>
      </c>
      <c r="O306" s="70">
        <f ca="1">IF(N306=Aftensmad,Tilmeldingsoversigt!$C$17," ")</f>
        <v>27.540983606557376</v>
      </c>
      <c r="P306" s="66"/>
    </row>
    <row r="307" spans="2:16" x14ac:dyDescent="0.25">
      <c r="B307" s="68"/>
      <c r="C307" s="69"/>
      <c r="D307" s="68"/>
      <c r="E307" s="69"/>
      <c r="F307" s="68" t="str">
        <f>IF(Tilmeldingsoversigt!$E$10="x",biret," ")</f>
        <v>Biret</v>
      </c>
      <c r="G307" s="69">
        <f>IF(F307=biret,biretpris," ")</f>
        <v>0</v>
      </c>
      <c r="H307" s="68" t="str">
        <f>IF(Tilmeldingsoversigt!$F$10="x",biret," ")</f>
        <v>Biret</v>
      </c>
      <c r="I307" s="69">
        <f>IF(H307=biret,biretpris," ")</f>
        <v>0</v>
      </c>
      <c r="J307" s="68" t="str">
        <f>IF(Tilmeldingsoversigt!$G$10="x",biret," ")</f>
        <v>Biret</v>
      </c>
      <c r="K307" s="69">
        <f>IF(J307=biret,biretpris," ")</f>
        <v>0</v>
      </c>
      <c r="L307" s="68" t="str">
        <f>IF(Tilmeldingsoversigt!$H$10="x",biret," ")</f>
        <v>Biret</v>
      </c>
      <c r="M307" s="69">
        <f>IF(L307=biret,biretpris," ")</f>
        <v>0</v>
      </c>
      <c r="N307" s="68" t="str">
        <f>IF(Tilmeldingsoversigt!$I$10="x",biret," ")</f>
        <v>Biret</v>
      </c>
      <c r="O307" s="70">
        <f>IF(N307=biret,biretpris," ")</f>
        <v>0</v>
      </c>
      <c r="P307" s="66"/>
    </row>
    <row r="308" spans="2:16" x14ac:dyDescent="0.25">
      <c r="B308" s="71"/>
      <c r="C308" s="72"/>
      <c r="D308" s="71"/>
      <c r="E308" s="72"/>
      <c r="F308" s="71" t="str">
        <f>IF(Tilmeldingsoversigt!$C$11="x",mellemmåltid," ")</f>
        <v xml:space="preserve"> </v>
      </c>
      <c r="G308" s="72" t="str">
        <f>IF(F308=mellemmåltid,mellemmåltidspris," ")</f>
        <v xml:space="preserve"> </v>
      </c>
      <c r="H308" s="71" t="str">
        <f>IF(Tilmeldingsoversigt!$C$11="x",mellemmåltid," ")</f>
        <v xml:space="preserve"> </v>
      </c>
      <c r="I308" s="72" t="str">
        <f>IF(H308=mellemmåltid,mellemmåltidspris," ")</f>
        <v xml:space="preserve"> </v>
      </c>
      <c r="J308" s="71" t="str">
        <f>IF(Tilmeldingsoversigt!$C$11="x",mellemmåltid," ")</f>
        <v xml:space="preserve"> </v>
      </c>
      <c r="K308" s="72" t="str">
        <f>IF(J308=mellemmåltid,mellemmåltidspris," ")</f>
        <v xml:space="preserve"> </v>
      </c>
      <c r="L308" s="71" t="str">
        <f>IF(Tilmeldingsoversigt!$C$11="x",mellemmåltid," ")</f>
        <v xml:space="preserve"> </v>
      </c>
      <c r="M308" s="72" t="str">
        <f>IF(L308=mellemmåltid,mellemmåltidspris," ")</f>
        <v xml:space="preserve"> </v>
      </c>
      <c r="N308" s="71" t="str">
        <f>IF(Tilmeldingsoversigt!$C$11="x",mellemmåltid," ")</f>
        <v xml:space="preserve"> </v>
      </c>
      <c r="O308" s="73" t="str">
        <f>IF(N308=mellemmåltid,mellemmåltidspris," ")</f>
        <v xml:space="preserve"> </v>
      </c>
      <c r="P308" s="66"/>
    </row>
    <row r="309" spans="2:16" x14ac:dyDescent="0.25">
      <c r="B309" s="74" t="s">
        <v>44</v>
      </c>
      <c r="C309" s="11">
        <f>SUM(C304:C308)</f>
        <v>0</v>
      </c>
      <c r="D309" s="74"/>
      <c r="E309" s="11">
        <f>SUM(E304:E308)</f>
        <v>0</v>
      </c>
      <c r="F309" s="74"/>
      <c r="G309" s="11">
        <f ca="1">SUM(G304:G308)</f>
        <v>99.311475409836063</v>
      </c>
      <c r="H309" s="74"/>
      <c r="I309" s="11">
        <f ca="1">SUM(I304:I308)</f>
        <v>99.311475409836063</v>
      </c>
      <c r="J309" s="74"/>
      <c r="K309" s="11">
        <f ca="1">SUM(K304:K308)</f>
        <v>99.311475409836063</v>
      </c>
      <c r="L309" s="74"/>
      <c r="M309" s="11">
        <f ca="1">SUM(M304:M308)</f>
        <v>99.311475409836063</v>
      </c>
      <c r="N309" s="74"/>
      <c r="O309" s="12">
        <f ca="1">SUM(O304:O308)</f>
        <v>99.311475409836063</v>
      </c>
      <c r="P309" s="75">
        <f ca="1">SUMIF(B302:N302,"&lt;8",C309:O309)</f>
        <v>198.62295081967213</v>
      </c>
    </row>
    <row r="310" spans="2:16" x14ac:dyDescent="0.2">
      <c r="B310" s="76"/>
      <c r="C310" s="77"/>
      <c r="D310" s="77"/>
      <c r="E310" s="77"/>
      <c r="F310" s="77"/>
      <c r="G310" s="77"/>
      <c r="H310" s="77"/>
      <c r="I310" s="77"/>
      <c r="J310" s="77"/>
      <c r="K310" s="77"/>
      <c r="L310" s="77"/>
      <c r="M310" s="77"/>
      <c r="N310" s="77"/>
      <c r="O310" s="77"/>
      <c r="P310" s="76"/>
    </row>
    <row r="311" spans="2:16" ht="12.75" x14ac:dyDescent="0.25">
      <c r="B311" s="78">
        <f>N302+1</f>
        <v>3</v>
      </c>
      <c r="C311" s="79"/>
      <c r="D311" s="78">
        <f>B311+1</f>
        <v>4</v>
      </c>
      <c r="E311" s="79"/>
      <c r="F311" s="78">
        <f>D311+1</f>
        <v>5</v>
      </c>
      <c r="G311" s="79"/>
      <c r="H311" s="78">
        <f>F311+1</f>
        <v>6</v>
      </c>
      <c r="I311" s="79"/>
      <c r="J311" s="78">
        <f>H311+1</f>
        <v>7</v>
      </c>
      <c r="K311" s="79"/>
      <c r="L311" s="78">
        <f>J311+1</f>
        <v>8</v>
      </c>
      <c r="M311" s="79"/>
      <c r="N311" s="78">
        <f>L311+1</f>
        <v>9</v>
      </c>
      <c r="O311" s="79"/>
      <c r="P311" s="80"/>
    </row>
    <row r="312" spans="2:16" x14ac:dyDescent="0.25">
      <c r="B312" s="64" t="s">
        <v>42</v>
      </c>
      <c r="C312" s="81" t="s">
        <v>43</v>
      </c>
      <c r="D312" s="64" t="s">
        <v>42</v>
      </c>
      <c r="E312" s="81" t="s">
        <v>43</v>
      </c>
      <c r="F312" s="64" t="s">
        <v>42</v>
      </c>
      <c r="G312" s="81" t="s">
        <v>43</v>
      </c>
      <c r="H312" s="64" t="s">
        <v>42</v>
      </c>
      <c r="I312" s="81" t="s">
        <v>43</v>
      </c>
      <c r="J312" s="64" t="s">
        <v>42</v>
      </c>
      <c r="K312" s="81" t="s">
        <v>43</v>
      </c>
      <c r="L312" s="64" t="s">
        <v>42</v>
      </c>
      <c r="M312" s="81" t="s">
        <v>43</v>
      </c>
      <c r="N312" s="64" t="s">
        <v>42</v>
      </c>
      <c r="O312" s="82" t="s">
        <v>43</v>
      </c>
      <c r="P312" s="66"/>
    </row>
    <row r="313" spans="2:16" x14ac:dyDescent="0.25">
      <c r="B313" s="136" t="str">
        <f>IF(Tilmeldingsoversigt!$C$7="x",Morgenmad," ")</f>
        <v>Morgenmad</v>
      </c>
      <c r="C313" s="67">
        <f ca="1">IF(B313=Morgenmad,Tilmeldingsoversigt!$C$15," ")</f>
        <v>16.754098360655739</v>
      </c>
      <c r="D313" s="136" t="str">
        <f>IF(Tilmeldingsoversigt!$D$7="x",Morgenmad," ")</f>
        <v>Morgenmad</v>
      </c>
      <c r="E313" s="67">
        <f ca="1">IF(D313=Morgenmad,Tilmeldingsoversigt!$C$15," ")</f>
        <v>16.754098360655739</v>
      </c>
      <c r="F313" s="136" t="str">
        <f>IF(Tilmeldingsoversigt!$E$7="x",Morgenmad," ")</f>
        <v>Morgenmad</v>
      </c>
      <c r="G313" s="67">
        <f ca="1">IF(F313=Morgenmad,Tilmeldingsoversigt!$C$15," ")</f>
        <v>16.754098360655739</v>
      </c>
      <c r="H313" s="136" t="str">
        <f>IF(Tilmeldingsoversigt!$F$7="x",Morgenmad," ")</f>
        <v>Morgenmad</v>
      </c>
      <c r="I313" s="67">
        <f ca="1">IF(H313=Morgenmad,Tilmeldingsoversigt!$C$15," ")</f>
        <v>16.754098360655739</v>
      </c>
      <c r="J313" s="136" t="str">
        <f>IF(Tilmeldingsoversigt!$G$7="x",Morgenmad," ")</f>
        <v>Morgenmad</v>
      </c>
      <c r="K313" s="67">
        <f ca="1">IF(J313=Morgenmad,Tilmeldingsoversigt!$C$15," ")</f>
        <v>16.754098360655739</v>
      </c>
      <c r="L313" s="136" t="str">
        <f>IF(Tilmeldingsoversigt!$H$7="x",Morgenmad," ")</f>
        <v>Morgenmad</v>
      </c>
      <c r="M313" s="67">
        <f ca="1">IF(L313=Morgenmad,Tilmeldingsoversigt!$C$15," ")</f>
        <v>16.754098360655739</v>
      </c>
      <c r="N313" s="136" t="str">
        <f>IF(Tilmeldingsoversigt!$I$7="x",Morgenmad," ")</f>
        <v>Morgenmad</v>
      </c>
      <c r="O313" s="83">
        <f ca="1">IF(N313=Morgenmad,Tilmeldingsoversigt!$C$15," ")</f>
        <v>16.754098360655739</v>
      </c>
      <c r="P313" s="66"/>
    </row>
    <row r="314" spans="2:16" x14ac:dyDescent="0.25">
      <c r="B314" s="68" t="str">
        <f>IF(Tilmeldingsoversigt!$C$8="x",hovedret," ")</f>
        <v>Hovedret</v>
      </c>
      <c r="C314" s="69">
        <f ca="1">IF(B314=hovedret,Tilmeldingsoversigt!$C$16," ")</f>
        <v>55.016393442622949</v>
      </c>
      <c r="D314" s="68" t="str">
        <f>IF(Tilmeldingsoversigt!$D$8="x",hovedret," ")</f>
        <v>Hovedret</v>
      </c>
      <c r="E314" s="69">
        <f ca="1">IF(D314=hovedret,Tilmeldingsoversigt!$C$16," ")</f>
        <v>55.016393442622949</v>
      </c>
      <c r="F314" s="68" t="str">
        <f>IF(Tilmeldingsoversigt!$E$8="x",hovedret," ")</f>
        <v>Hovedret</v>
      </c>
      <c r="G314" s="69">
        <f ca="1">IF(F314=hovedret,Tilmeldingsoversigt!$C$16," ")</f>
        <v>55.016393442622949</v>
      </c>
      <c r="H314" s="68" t="str">
        <f>IF(Tilmeldingsoversigt!$F$8="x",hovedret," ")</f>
        <v>Hovedret</v>
      </c>
      <c r="I314" s="69">
        <f ca="1">IF(H314=hovedret,Tilmeldingsoversigt!$C$16," ")</f>
        <v>55.016393442622949</v>
      </c>
      <c r="J314" s="68" t="str">
        <f>IF(Tilmeldingsoversigt!$G$8="x",hovedret," ")</f>
        <v>Hovedret</v>
      </c>
      <c r="K314" s="69">
        <f ca="1">IF(J314=hovedret,Tilmeldingsoversigt!$C$16," ")</f>
        <v>55.016393442622949</v>
      </c>
      <c r="L314" s="68" t="str">
        <f>IF(Tilmeldingsoversigt!$H$8="x",hovedret," ")</f>
        <v>Hovedret</v>
      </c>
      <c r="M314" s="69">
        <f ca="1">IF(L314=hovedret,Tilmeldingsoversigt!$C$16," ")</f>
        <v>55.016393442622949</v>
      </c>
      <c r="N314" s="68" t="str">
        <f>IF(Tilmeldingsoversigt!$I$8="x",hovedret," ")</f>
        <v>Hovedret</v>
      </c>
      <c r="O314" s="70">
        <f ca="1">IF(N314=hovedret,Tilmeldingsoversigt!$C$16," ")</f>
        <v>55.016393442622949</v>
      </c>
      <c r="P314" s="66"/>
    </row>
    <row r="315" spans="2:16" x14ac:dyDescent="0.25">
      <c r="B315" s="68" t="str">
        <f>IF(Tilmeldingsoversigt!$C$9="x",Aftensmad," ")</f>
        <v>Aftensmad</v>
      </c>
      <c r="C315" s="69">
        <f ca="1">IF(B315=Aftensmad,Tilmeldingsoversigt!$C$17," ")</f>
        <v>27.540983606557376</v>
      </c>
      <c r="D315" s="68" t="str">
        <f>IF(Tilmeldingsoversigt!$D$9="x",Aftensmad," ")</f>
        <v>Aftensmad</v>
      </c>
      <c r="E315" s="69">
        <f ca="1">IF(D315=Aftensmad,Tilmeldingsoversigt!$C$17," ")</f>
        <v>27.540983606557376</v>
      </c>
      <c r="F315" s="68" t="str">
        <f>IF(Tilmeldingsoversigt!$E$9="x",Aftensmad," ")</f>
        <v>Aftensmad</v>
      </c>
      <c r="G315" s="69">
        <f ca="1">IF(F315=Aftensmad,Tilmeldingsoversigt!$C$17," ")</f>
        <v>27.540983606557376</v>
      </c>
      <c r="H315" s="68" t="str">
        <f>IF(Tilmeldingsoversigt!$F$9="x",Aftensmad," ")</f>
        <v>Aftensmad</v>
      </c>
      <c r="I315" s="69">
        <f ca="1">IF(H315=Aftensmad,Tilmeldingsoversigt!$C$17," ")</f>
        <v>27.540983606557376</v>
      </c>
      <c r="J315" s="68" t="str">
        <f>IF(Tilmeldingsoversigt!$G$9="x",Aftensmad," ")</f>
        <v>Aftensmad</v>
      </c>
      <c r="K315" s="69">
        <f ca="1">IF(J315=Aftensmad,Tilmeldingsoversigt!$C$17," ")</f>
        <v>27.540983606557376</v>
      </c>
      <c r="L315" s="68" t="str">
        <f>IF(Tilmeldingsoversigt!$H$9="x",Aftensmad," ")</f>
        <v>Aftensmad</v>
      </c>
      <c r="M315" s="69">
        <f ca="1">IF(L315=Aftensmad,Tilmeldingsoversigt!$C$17," ")</f>
        <v>27.540983606557376</v>
      </c>
      <c r="N315" s="68" t="str">
        <f>IF(Tilmeldingsoversigt!$I$9="x",Aftensmad," ")</f>
        <v>Aftensmad</v>
      </c>
      <c r="O315" s="70">
        <f ca="1">IF(N315=Aftensmad,Tilmeldingsoversigt!$C$17," ")</f>
        <v>27.540983606557376</v>
      </c>
      <c r="P315" s="66"/>
    </row>
    <row r="316" spans="2:16" x14ac:dyDescent="0.25">
      <c r="B316" s="68" t="str">
        <f>IF(Tilmeldingsoversigt!$C$10="x",biret," ")</f>
        <v>Biret</v>
      </c>
      <c r="C316" s="69">
        <f>IF(B316=biret,biretpris," ")</f>
        <v>0</v>
      </c>
      <c r="D316" s="68" t="str">
        <f>IF(Tilmeldingsoversigt!$D$10="x",biret," ")</f>
        <v>Biret</v>
      </c>
      <c r="E316" s="69">
        <f>IF(D316=biret,biretpris," ")</f>
        <v>0</v>
      </c>
      <c r="F316" s="68" t="str">
        <f>IF(Tilmeldingsoversigt!$E$10="x",biret," ")</f>
        <v>Biret</v>
      </c>
      <c r="G316" s="69">
        <f>IF(F316=biret,biretpris," ")</f>
        <v>0</v>
      </c>
      <c r="H316" s="68" t="str">
        <f>IF(Tilmeldingsoversigt!$F$10="x",biret," ")</f>
        <v>Biret</v>
      </c>
      <c r="I316" s="69">
        <f>IF(H316=biret,biretpris," ")</f>
        <v>0</v>
      </c>
      <c r="J316" s="68" t="str">
        <f>IF(Tilmeldingsoversigt!$G$10="x",biret," ")</f>
        <v>Biret</v>
      </c>
      <c r="K316" s="69">
        <f>IF(J316=biret,biretpris," ")</f>
        <v>0</v>
      </c>
      <c r="L316" s="68" t="str">
        <f>IF(Tilmeldingsoversigt!$H$10="x",biret," ")</f>
        <v>Biret</v>
      </c>
      <c r="M316" s="69">
        <f>IF(L316=biret,biretpris," ")</f>
        <v>0</v>
      </c>
      <c r="N316" s="68" t="str">
        <f>IF(Tilmeldingsoversigt!$I$10="x",biret," ")</f>
        <v>Biret</v>
      </c>
      <c r="O316" s="70">
        <f>IF(N316=biret,biretpris," ")</f>
        <v>0</v>
      </c>
      <c r="P316" s="66"/>
    </row>
    <row r="317" spans="2:16" x14ac:dyDescent="0.25">
      <c r="B317" s="71" t="str">
        <f>IF(Tilmeldingsoversigt!$C$11="x",mellemmåltid," ")</f>
        <v xml:space="preserve"> </v>
      </c>
      <c r="C317" s="72" t="str">
        <f>IF(B317=mellemmåltid,mellemmåltidspris," ")</f>
        <v xml:space="preserve"> </v>
      </c>
      <c r="D317" s="71" t="str">
        <f>IF(Tilmeldingsoversigt!$C$11="x",mellemmåltid," ")</f>
        <v xml:space="preserve"> </v>
      </c>
      <c r="E317" s="72" t="str">
        <f>IF(D317=mellemmåltid,mellemmåltidspris," ")</f>
        <v xml:space="preserve"> </v>
      </c>
      <c r="F317" s="71" t="str">
        <f>IF(Tilmeldingsoversigt!$C$11="x",mellemmåltid," ")</f>
        <v xml:space="preserve"> </v>
      </c>
      <c r="G317" s="72" t="str">
        <f>IF(F317=mellemmåltid,mellemmåltidspris," ")</f>
        <v xml:space="preserve"> </v>
      </c>
      <c r="H317" s="71" t="str">
        <f>IF(Tilmeldingsoversigt!$C$11="x",mellemmåltid," ")</f>
        <v xml:space="preserve"> </v>
      </c>
      <c r="I317" s="72" t="str">
        <f>IF(H317=mellemmåltid,mellemmåltidspris," ")</f>
        <v xml:space="preserve"> </v>
      </c>
      <c r="J317" s="71" t="str">
        <f>IF(Tilmeldingsoversigt!$C$11="x",mellemmåltid," ")</f>
        <v xml:space="preserve"> </v>
      </c>
      <c r="K317" s="72" t="str">
        <f>IF(J317=mellemmåltid,mellemmåltidspris," ")</f>
        <v xml:space="preserve"> </v>
      </c>
      <c r="L317" s="71" t="str">
        <f>IF(Tilmeldingsoversigt!$C$11="x",mellemmåltid," ")</f>
        <v xml:space="preserve"> </v>
      </c>
      <c r="M317" s="72" t="str">
        <f>IF(L317=mellemmåltid,mellemmåltidspris," ")</f>
        <v xml:space="preserve"> </v>
      </c>
      <c r="N317" s="71" t="str">
        <f>IF(Tilmeldingsoversigt!$C$11="x",mellemmåltid," ")</f>
        <v xml:space="preserve"> </v>
      </c>
      <c r="O317" s="73" t="str">
        <f>IF(N317=mellemmåltid,mellemmåltidspris," ")</f>
        <v xml:space="preserve"> </v>
      </c>
      <c r="P317" s="66"/>
    </row>
    <row r="318" spans="2:16" x14ac:dyDescent="0.25">
      <c r="B318" s="74" t="s">
        <v>44</v>
      </c>
      <c r="C318" s="11">
        <f ca="1">SUM(C313:C317)</f>
        <v>99.311475409836063</v>
      </c>
      <c r="D318" s="74"/>
      <c r="E318" s="11">
        <f ca="1">SUM(E313:E317)</f>
        <v>99.311475409836063</v>
      </c>
      <c r="F318" s="74"/>
      <c r="G318" s="11">
        <f ca="1">SUM(G313:G317)</f>
        <v>99.311475409836063</v>
      </c>
      <c r="H318" s="74"/>
      <c r="I318" s="11">
        <f ca="1">SUM(I313:I317)</f>
        <v>99.311475409836063</v>
      </c>
      <c r="J318" s="74"/>
      <c r="K318" s="11">
        <f ca="1">SUM(K313:K317)</f>
        <v>99.311475409836063</v>
      </c>
      <c r="L318" s="74"/>
      <c r="M318" s="11">
        <f ca="1">SUM(M313:M317)</f>
        <v>99.311475409836063</v>
      </c>
      <c r="N318" s="74"/>
      <c r="O318" s="12">
        <f ca="1">SUM(O313:O317)</f>
        <v>99.311475409836063</v>
      </c>
      <c r="P318" s="75">
        <f ca="1">SUM(C318,E318,G318,I318,K318,M318,O318)</f>
        <v>695.18032786885237</v>
      </c>
    </row>
    <row r="319" spans="2:16" x14ac:dyDescent="0.2">
      <c r="B319" s="76"/>
      <c r="C319" s="77"/>
      <c r="D319" s="77"/>
      <c r="E319" s="77"/>
      <c r="F319" s="77"/>
      <c r="G319" s="77"/>
      <c r="H319" s="77"/>
      <c r="I319" s="77"/>
      <c r="J319" s="77"/>
      <c r="K319" s="77"/>
      <c r="L319" s="77"/>
      <c r="M319" s="77"/>
      <c r="N319" s="77"/>
      <c r="O319" s="77"/>
      <c r="P319" s="76"/>
    </row>
    <row r="320" spans="2:16" ht="12.75" x14ac:dyDescent="0.25">
      <c r="B320" s="78">
        <f>N311+1</f>
        <v>10</v>
      </c>
      <c r="C320" s="79"/>
      <c r="D320" s="78">
        <f>B320+1</f>
        <v>11</v>
      </c>
      <c r="E320" s="79"/>
      <c r="F320" s="78">
        <f>D320+1</f>
        <v>12</v>
      </c>
      <c r="G320" s="79"/>
      <c r="H320" s="78">
        <f>F320+1</f>
        <v>13</v>
      </c>
      <c r="I320" s="79"/>
      <c r="J320" s="78">
        <f>H320+1</f>
        <v>14</v>
      </c>
      <c r="K320" s="79"/>
      <c r="L320" s="78">
        <f>J320+1</f>
        <v>15</v>
      </c>
      <c r="M320" s="79"/>
      <c r="N320" s="78">
        <f>L320+1</f>
        <v>16</v>
      </c>
      <c r="O320" s="79"/>
      <c r="P320" s="80"/>
    </row>
    <row r="321" spans="2:16" x14ac:dyDescent="0.25">
      <c r="B321" s="64" t="s">
        <v>42</v>
      </c>
      <c r="C321" s="81" t="s">
        <v>43</v>
      </c>
      <c r="D321" s="64" t="s">
        <v>42</v>
      </c>
      <c r="E321" s="81" t="s">
        <v>43</v>
      </c>
      <c r="F321" s="64" t="s">
        <v>42</v>
      </c>
      <c r="G321" s="81" t="s">
        <v>43</v>
      </c>
      <c r="H321" s="64" t="s">
        <v>42</v>
      </c>
      <c r="I321" s="81" t="s">
        <v>43</v>
      </c>
      <c r="J321" s="64" t="s">
        <v>42</v>
      </c>
      <c r="K321" s="81" t="s">
        <v>43</v>
      </c>
      <c r="L321" s="64" t="s">
        <v>42</v>
      </c>
      <c r="M321" s="81" t="s">
        <v>43</v>
      </c>
      <c r="N321" s="64" t="s">
        <v>42</v>
      </c>
      <c r="O321" s="82" t="s">
        <v>43</v>
      </c>
      <c r="P321" s="66"/>
    </row>
    <row r="322" spans="2:16" x14ac:dyDescent="0.25">
      <c r="B322" s="136" t="str">
        <f>IF(Tilmeldingsoversigt!$C$7="x",Morgenmad," ")</f>
        <v>Morgenmad</v>
      </c>
      <c r="C322" s="67">
        <f ca="1">IF(B322=Morgenmad,Tilmeldingsoversigt!$C$15," ")</f>
        <v>16.754098360655739</v>
      </c>
      <c r="D322" s="136" t="str">
        <f>IF(Tilmeldingsoversigt!$D$7="x",Morgenmad," ")</f>
        <v>Morgenmad</v>
      </c>
      <c r="E322" s="67">
        <f ca="1">IF(D322=Morgenmad,Tilmeldingsoversigt!$C$15," ")</f>
        <v>16.754098360655739</v>
      </c>
      <c r="F322" s="136" t="str">
        <f>IF(Tilmeldingsoversigt!$E$7="x",Morgenmad," ")</f>
        <v>Morgenmad</v>
      </c>
      <c r="G322" s="67">
        <f ca="1">IF(F322=Morgenmad,Tilmeldingsoversigt!$C$15," ")</f>
        <v>16.754098360655739</v>
      </c>
      <c r="H322" s="136" t="str">
        <f>IF(Tilmeldingsoversigt!$F$7="x",Morgenmad," ")</f>
        <v>Morgenmad</v>
      </c>
      <c r="I322" s="67">
        <f ca="1">IF(H322=Morgenmad,Tilmeldingsoversigt!$C$15," ")</f>
        <v>16.754098360655739</v>
      </c>
      <c r="J322" s="136" t="str">
        <f>IF(Tilmeldingsoversigt!$G$7="x",Morgenmad," ")</f>
        <v>Morgenmad</v>
      </c>
      <c r="K322" s="67">
        <f ca="1">IF(J322=Morgenmad,Tilmeldingsoversigt!$C$15," ")</f>
        <v>16.754098360655739</v>
      </c>
      <c r="L322" s="136" t="str">
        <f>IF(Tilmeldingsoversigt!$H$7="x",Morgenmad," ")</f>
        <v>Morgenmad</v>
      </c>
      <c r="M322" s="67">
        <f ca="1">IF(L322=Morgenmad,Tilmeldingsoversigt!$C$15," ")</f>
        <v>16.754098360655739</v>
      </c>
      <c r="N322" s="136" t="str">
        <f>IF(Tilmeldingsoversigt!$I$7="x",Morgenmad," ")</f>
        <v>Morgenmad</v>
      </c>
      <c r="O322" s="83">
        <f ca="1">IF(N322=Morgenmad,Tilmeldingsoversigt!$C$15," ")</f>
        <v>16.754098360655739</v>
      </c>
      <c r="P322" s="66"/>
    </row>
    <row r="323" spans="2:16" x14ac:dyDescent="0.25">
      <c r="B323" s="68" t="str">
        <f>IF(Tilmeldingsoversigt!$C$8="x",hovedret," ")</f>
        <v>Hovedret</v>
      </c>
      <c r="C323" s="69">
        <f ca="1">IF(B323=hovedret,Tilmeldingsoversigt!$C$16," ")</f>
        <v>55.016393442622949</v>
      </c>
      <c r="D323" s="68" t="str">
        <f>IF(Tilmeldingsoversigt!$D$8="x",hovedret," ")</f>
        <v>Hovedret</v>
      </c>
      <c r="E323" s="69">
        <f ca="1">IF(D323=hovedret,Tilmeldingsoversigt!$C$16," ")</f>
        <v>55.016393442622949</v>
      </c>
      <c r="F323" s="68" t="str">
        <f>IF(Tilmeldingsoversigt!$E$8="x",hovedret," ")</f>
        <v>Hovedret</v>
      </c>
      <c r="G323" s="69">
        <f ca="1">IF(F323=hovedret,Tilmeldingsoversigt!$C$16," ")</f>
        <v>55.016393442622949</v>
      </c>
      <c r="H323" s="68" t="str">
        <f>IF(Tilmeldingsoversigt!$F$8="x",hovedret," ")</f>
        <v>Hovedret</v>
      </c>
      <c r="I323" s="69">
        <f ca="1">IF(H323=hovedret,Tilmeldingsoversigt!$C$16," ")</f>
        <v>55.016393442622949</v>
      </c>
      <c r="J323" s="68" t="str">
        <f>IF(Tilmeldingsoversigt!$G$8="x",hovedret," ")</f>
        <v>Hovedret</v>
      </c>
      <c r="K323" s="69">
        <f ca="1">IF(J323=hovedret,Tilmeldingsoversigt!$C$16," ")</f>
        <v>55.016393442622949</v>
      </c>
      <c r="L323" s="68" t="str">
        <f>IF(Tilmeldingsoversigt!$H$8="x",hovedret," ")</f>
        <v>Hovedret</v>
      </c>
      <c r="M323" s="69">
        <f ca="1">IF(L323=hovedret,Tilmeldingsoversigt!$C$16," ")</f>
        <v>55.016393442622949</v>
      </c>
      <c r="N323" s="68" t="str">
        <f>IF(Tilmeldingsoversigt!$I$8="x",hovedret," ")</f>
        <v>Hovedret</v>
      </c>
      <c r="O323" s="70">
        <f ca="1">IF(N323=hovedret,Tilmeldingsoversigt!$C$16," ")</f>
        <v>55.016393442622949</v>
      </c>
      <c r="P323" s="66"/>
    </row>
    <row r="324" spans="2:16" x14ac:dyDescent="0.25">
      <c r="B324" s="68" t="str">
        <f>IF(Tilmeldingsoversigt!$C$9="x",Aftensmad," ")</f>
        <v>Aftensmad</v>
      </c>
      <c r="C324" s="69">
        <f ca="1">IF(B324=Aftensmad,Tilmeldingsoversigt!$C$17," ")</f>
        <v>27.540983606557376</v>
      </c>
      <c r="D324" s="68" t="str">
        <f>IF(Tilmeldingsoversigt!$D$9="x",Aftensmad," ")</f>
        <v>Aftensmad</v>
      </c>
      <c r="E324" s="69">
        <f ca="1">IF(D324=Aftensmad,Tilmeldingsoversigt!$C$17," ")</f>
        <v>27.540983606557376</v>
      </c>
      <c r="F324" s="68" t="str">
        <f>IF(Tilmeldingsoversigt!$E$9="x",Aftensmad," ")</f>
        <v>Aftensmad</v>
      </c>
      <c r="G324" s="69">
        <f ca="1">IF(F324=Aftensmad,Tilmeldingsoversigt!$C$17," ")</f>
        <v>27.540983606557376</v>
      </c>
      <c r="H324" s="68" t="str">
        <f>IF(Tilmeldingsoversigt!$F$9="x",Aftensmad," ")</f>
        <v>Aftensmad</v>
      </c>
      <c r="I324" s="69">
        <f ca="1">IF(H324=Aftensmad,Tilmeldingsoversigt!$C$17," ")</f>
        <v>27.540983606557376</v>
      </c>
      <c r="J324" s="68" t="str">
        <f>IF(Tilmeldingsoversigt!$G$9="x",Aftensmad," ")</f>
        <v>Aftensmad</v>
      </c>
      <c r="K324" s="69">
        <f ca="1">IF(J324=Aftensmad,Tilmeldingsoversigt!$C$17," ")</f>
        <v>27.540983606557376</v>
      </c>
      <c r="L324" s="68" t="str">
        <f>IF(Tilmeldingsoversigt!$H$9="x",Aftensmad," ")</f>
        <v>Aftensmad</v>
      </c>
      <c r="M324" s="69">
        <f ca="1">IF(L324=Aftensmad,Tilmeldingsoversigt!$C$17," ")</f>
        <v>27.540983606557376</v>
      </c>
      <c r="N324" s="68" t="str">
        <f>IF(Tilmeldingsoversigt!$I$9="x",Aftensmad," ")</f>
        <v>Aftensmad</v>
      </c>
      <c r="O324" s="70">
        <f ca="1">IF(N324=Aftensmad,Tilmeldingsoversigt!$C$17," ")</f>
        <v>27.540983606557376</v>
      </c>
      <c r="P324" s="66"/>
    </row>
    <row r="325" spans="2:16" x14ac:dyDescent="0.25">
      <c r="B325" s="68" t="str">
        <f>IF(Tilmeldingsoversigt!$C$10="x",biret," ")</f>
        <v>Biret</v>
      </c>
      <c r="C325" s="69">
        <f>IF(B325=biret,biretpris," ")</f>
        <v>0</v>
      </c>
      <c r="D325" s="68" t="str">
        <f>IF(Tilmeldingsoversigt!$D$10="x",biret," ")</f>
        <v>Biret</v>
      </c>
      <c r="E325" s="69">
        <f>IF(D325=biret,biretpris," ")</f>
        <v>0</v>
      </c>
      <c r="F325" s="68" t="str">
        <f>IF(Tilmeldingsoversigt!$E$10="x",biret," ")</f>
        <v>Biret</v>
      </c>
      <c r="G325" s="69">
        <f>IF(F325=biret,biretpris," ")</f>
        <v>0</v>
      </c>
      <c r="H325" s="68" t="str">
        <f>IF(Tilmeldingsoversigt!$F$10="x",biret," ")</f>
        <v>Biret</v>
      </c>
      <c r="I325" s="69">
        <f>IF(H325=biret,biretpris," ")</f>
        <v>0</v>
      </c>
      <c r="J325" s="68" t="str">
        <f>IF(Tilmeldingsoversigt!$G$10="x",biret," ")</f>
        <v>Biret</v>
      </c>
      <c r="K325" s="69">
        <f>IF(J325=biret,biretpris," ")</f>
        <v>0</v>
      </c>
      <c r="L325" s="68" t="str">
        <f>IF(Tilmeldingsoversigt!$H$10="x",biret," ")</f>
        <v>Biret</v>
      </c>
      <c r="M325" s="69">
        <f>IF(L325=biret,biretpris," ")</f>
        <v>0</v>
      </c>
      <c r="N325" s="68" t="str">
        <f>IF(Tilmeldingsoversigt!$I$10="x",biret," ")</f>
        <v>Biret</v>
      </c>
      <c r="O325" s="70">
        <f>IF(N325=biret,biretpris," ")</f>
        <v>0</v>
      </c>
      <c r="P325" s="66"/>
    </row>
    <row r="326" spans="2:16" x14ac:dyDescent="0.25">
      <c r="B326" s="71" t="str">
        <f>IF(Tilmeldingsoversigt!$C$11="x",mellemmåltid," ")</f>
        <v xml:space="preserve"> </v>
      </c>
      <c r="C326" s="72" t="str">
        <f>IF(B326=mellemmåltid,mellemmåltidspris," ")</f>
        <v xml:space="preserve"> </v>
      </c>
      <c r="D326" s="71" t="str">
        <f>IF(Tilmeldingsoversigt!$C$11="x",mellemmåltid," ")</f>
        <v xml:space="preserve"> </v>
      </c>
      <c r="E326" s="72" t="str">
        <f>IF(D326=mellemmåltid,mellemmåltidspris," ")</f>
        <v xml:space="preserve"> </v>
      </c>
      <c r="F326" s="71" t="str">
        <f>IF(Tilmeldingsoversigt!$C$11="x",mellemmåltid," ")</f>
        <v xml:space="preserve"> </v>
      </c>
      <c r="G326" s="72" t="str">
        <f>IF(F326=mellemmåltid,mellemmåltidspris," ")</f>
        <v xml:space="preserve"> </v>
      </c>
      <c r="H326" s="71" t="str">
        <f>IF(Tilmeldingsoversigt!$C$11="x",mellemmåltid," ")</f>
        <v xml:space="preserve"> </v>
      </c>
      <c r="I326" s="72" t="str">
        <f>IF(H326=mellemmåltid,mellemmåltidspris," ")</f>
        <v xml:space="preserve"> </v>
      </c>
      <c r="J326" s="71" t="str">
        <f>IF(Tilmeldingsoversigt!$C$11="x",mellemmåltid," ")</f>
        <v xml:space="preserve"> </v>
      </c>
      <c r="K326" s="72" t="str">
        <f>IF(J326=mellemmåltid,mellemmåltidspris," ")</f>
        <v xml:space="preserve"> </v>
      </c>
      <c r="L326" s="71" t="str">
        <f>IF(Tilmeldingsoversigt!$C$11="x",mellemmåltid," ")</f>
        <v xml:space="preserve"> </v>
      </c>
      <c r="M326" s="72" t="str">
        <f>IF(L326=mellemmåltid,mellemmåltidspris," ")</f>
        <v xml:space="preserve"> </v>
      </c>
      <c r="N326" s="71" t="str">
        <f>IF(Tilmeldingsoversigt!$C$11="x",mellemmåltid," ")</f>
        <v xml:space="preserve"> </v>
      </c>
      <c r="O326" s="73" t="str">
        <f>IF(N326=mellemmåltid,mellemmåltidspris," ")</f>
        <v xml:space="preserve"> </v>
      </c>
      <c r="P326" s="66"/>
    </row>
    <row r="327" spans="2:16" x14ac:dyDescent="0.25">
      <c r="B327" s="84" t="s">
        <v>44</v>
      </c>
      <c r="C327" s="11">
        <f ca="1">SUM(C322:C326)</f>
        <v>99.311475409836063</v>
      </c>
      <c r="D327" s="74"/>
      <c r="E327" s="11">
        <f ca="1">SUM(E322:E326)</f>
        <v>99.311475409836063</v>
      </c>
      <c r="F327" s="74"/>
      <c r="G327" s="11">
        <f ca="1">SUM(G322:G326)</f>
        <v>99.311475409836063</v>
      </c>
      <c r="H327" s="74"/>
      <c r="I327" s="11">
        <f ca="1">SUM(I322:I326)</f>
        <v>99.311475409836063</v>
      </c>
      <c r="J327" s="74"/>
      <c r="K327" s="11">
        <f ca="1">SUM(K322:K326)</f>
        <v>99.311475409836063</v>
      </c>
      <c r="L327" s="74"/>
      <c r="M327" s="11">
        <f ca="1">SUM(M322:M326)</f>
        <v>99.311475409836063</v>
      </c>
      <c r="N327" s="74"/>
      <c r="O327" s="12">
        <f ca="1">SUM(O322:O326)</f>
        <v>99.311475409836063</v>
      </c>
      <c r="P327" s="75">
        <f ca="1">SUM(C327,E327,G327,I327,K327,M327,O327)</f>
        <v>695.18032786885237</v>
      </c>
    </row>
    <row r="328" spans="2:16" x14ac:dyDescent="0.2">
      <c r="B328" s="76"/>
      <c r="C328" s="77"/>
      <c r="D328" s="77"/>
      <c r="E328" s="77"/>
      <c r="F328" s="77"/>
      <c r="G328" s="77"/>
      <c r="H328" s="77"/>
      <c r="I328" s="77"/>
      <c r="J328" s="77"/>
      <c r="K328" s="77"/>
      <c r="L328" s="77"/>
      <c r="M328" s="77"/>
      <c r="N328" s="77"/>
      <c r="O328" s="77"/>
      <c r="P328" s="76"/>
    </row>
    <row r="329" spans="2:16" ht="12.75" x14ac:dyDescent="0.25">
      <c r="B329" s="78">
        <f>N320+1</f>
        <v>17</v>
      </c>
      <c r="C329" s="79"/>
      <c r="D329" s="78">
        <f>B329+1</f>
        <v>18</v>
      </c>
      <c r="E329" s="79"/>
      <c r="F329" s="78">
        <f>D329+1</f>
        <v>19</v>
      </c>
      <c r="G329" s="79"/>
      <c r="H329" s="78">
        <f>F329+1</f>
        <v>20</v>
      </c>
      <c r="I329" s="79"/>
      <c r="J329" s="78">
        <f>H329+1</f>
        <v>21</v>
      </c>
      <c r="K329" s="79"/>
      <c r="L329" s="78">
        <f>J329+1</f>
        <v>22</v>
      </c>
      <c r="M329" s="79"/>
      <c r="N329" s="78">
        <f>L329+1</f>
        <v>23</v>
      </c>
      <c r="O329" s="79"/>
      <c r="P329" s="80"/>
    </row>
    <row r="330" spans="2:16" x14ac:dyDescent="0.25">
      <c r="B330" s="64" t="s">
        <v>42</v>
      </c>
      <c r="C330" s="81" t="s">
        <v>43</v>
      </c>
      <c r="D330" s="64" t="s">
        <v>42</v>
      </c>
      <c r="E330" s="81" t="s">
        <v>43</v>
      </c>
      <c r="F330" s="64" t="s">
        <v>42</v>
      </c>
      <c r="G330" s="81" t="s">
        <v>43</v>
      </c>
      <c r="H330" s="64" t="s">
        <v>42</v>
      </c>
      <c r="I330" s="81" t="s">
        <v>43</v>
      </c>
      <c r="J330" s="64" t="s">
        <v>42</v>
      </c>
      <c r="K330" s="81" t="s">
        <v>43</v>
      </c>
      <c r="L330" s="64" t="s">
        <v>42</v>
      </c>
      <c r="M330" s="81" t="s">
        <v>43</v>
      </c>
      <c r="N330" s="64" t="s">
        <v>42</v>
      </c>
      <c r="O330" s="82" t="s">
        <v>43</v>
      </c>
      <c r="P330" s="66"/>
    </row>
    <row r="331" spans="2:16" x14ac:dyDescent="0.25">
      <c r="B331" s="136" t="str">
        <f>IF(Tilmeldingsoversigt!$C$7="x",Morgenmad," ")</f>
        <v>Morgenmad</v>
      </c>
      <c r="C331" s="67">
        <f ca="1">IF(B331=Morgenmad,Tilmeldingsoversigt!$C$15," ")</f>
        <v>16.754098360655739</v>
      </c>
      <c r="D331" s="136" t="str">
        <f>IF(Tilmeldingsoversigt!$D$7="x",Morgenmad," ")</f>
        <v>Morgenmad</v>
      </c>
      <c r="E331" s="67">
        <f ca="1">IF(D331=Morgenmad,Tilmeldingsoversigt!$C$15," ")</f>
        <v>16.754098360655739</v>
      </c>
      <c r="F331" s="136" t="str">
        <f>IF(Tilmeldingsoversigt!$E$7="x",Morgenmad," ")</f>
        <v>Morgenmad</v>
      </c>
      <c r="G331" s="67">
        <f ca="1">IF(F331=Morgenmad,Tilmeldingsoversigt!$C$15," ")</f>
        <v>16.754098360655739</v>
      </c>
      <c r="H331" s="136" t="str">
        <f>IF(Tilmeldingsoversigt!$F$7="x",Morgenmad," ")</f>
        <v>Morgenmad</v>
      </c>
      <c r="I331" s="67">
        <f ca="1">IF(H331=Morgenmad,Tilmeldingsoversigt!$C$15," ")</f>
        <v>16.754098360655739</v>
      </c>
      <c r="J331" s="136" t="str">
        <f>IF(Tilmeldingsoversigt!$G$7="x",Morgenmad," ")</f>
        <v>Morgenmad</v>
      </c>
      <c r="K331" s="67">
        <f ca="1">IF(J331=Morgenmad,Tilmeldingsoversigt!$C$15," ")</f>
        <v>16.754098360655739</v>
      </c>
      <c r="L331" s="136" t="str">
        <f>IF(Tilmeldingsoversigt!$H$7="x",Morgenmad," ")</f>
        <v>Morgenmad</v>
      </c>
      <c r="M331" s="67">
        <f ca="1">IF(L331=Morgenmad,Tilmeldingsoversigt!$C$15," ")</f>
        <v>16.754098360655739</v>
      </c>
      <c r="N331" s="136" t="str">
        <f>IF(Tilmeldingsoversigt!$I$7="x",Morgenmad," ")</f>
        <v>Morgenmad</v>
      </c>
      <c r="O331" s="83">
        <f ca="1">IF(N331=Morgenmad,Tilmeldingsoversigt!$C$15," ")</f>
        <v>16.754098360655739</v>
      </c>
      <c r="P331" s="66"/>
    </row>
    <row r="332" spans="2:16" x14ac:dyDescent="0.25">
      <c r="B332" s="68" t="str">
        <f>IF(Tilmeldingsoversigt!$C$8="x",hovedret," ")</f>
        <v>Hovedret</v>
      </c>
      <c r="C332" s="69">
        <f ca="1">IF(B332=hovedret,Tilmeldingsoversigt!$C$16," ")</f>
        <v>55.016393442622949</v>
      </c>
      <c r="D332" s="68" t="str">
        <f>IF(Tilmeldingsoversigt!$D$8="x",hovedret," ")</f>
        <v>Hovedret</v>
      </c>
      <c r="E332" s="69">
        <f ca="1">IF(D332=hovedret,Tilmeldingsoversigt!$C$16," ")</f>
        <v>55.016393442622949</v>
      </c>
      <c r="F332" s="68" t="str">
        <f>IF(Tilmeldingsoversigt!$E$8="x",hovedret," ")</f>
        <v>Hovedret</v>
      </c>
      <c r="G332" s="69">
        <f ca="1">IF(F332=hovedret,Tilmeldingsoversigt!$C$16," ")</f>
        <v>55.016393442622949</v>
      </c>
      <c r="H332" s="68" t="str">
        <f>IF(Tilmeldingsoversigt!$F$8="x",hovedret," ")</f>
        <v>Hovedret</v>
      </c>
      <c r="I332" s="69">
        <f ca="1">IF(H332=hovedret,Tilmeldingsoversigt!$C$16," ")</f>
        <v>55.016393442622949</v>
      </c>
      <c r="J332" s="68" t="str">
        <f>IF(Tilmeldingsoversigt!$G$8="x",hovedret," ")</f>
        <v>Hovedret</v>
      </c>
      <c r="K332" s="69">
        <f ca="1">IF(J332=hovedret,Tilmeldingsoversigt!$C$16," ")</f>
        <v>55.016393442622949</v>
      </c>
      <c r="L332" s="68" t="str">
        <f>IF(Tilmeldingsoversigt!$H$8="x",hovedret," ")</f>
        <v>Hovedret</v>
      </c>
      <c r="M332" s="69">
        <f ca="1">IF(L332=hovedret,Tilmeldingsoversigt!$C$16," ")</f>
        <v>55.016393442622949</v>
      </c>
      <c r="N332" s="68" t="str">
        <f>IF(Tilmeldingsoversigt!$I$8="x",hovedret," ")</f>
        <v>Hovedret</v>
      </c>
      <c r="O332" s="70">
        <f ca="1">IF(N332=hovedret,Tilmeldingsoversigt!$C$16," ")</f>
        <v>55.016393442622949</v>
      </c>
      <c r="P332" s="66"/>
    </row>
    <row r="333" spans="2:16" x14ac:dyDescent="0.25">
      <c r="B333" s="68" t="str">
        <f>IF(Tilmeldingsoversigt!$C$9="x",Aftensmad," ")</f>
        <v>Aftensmad</v>
      </c>
      <c r="C333" s="69">
        <f ca="1">IF(B333=Aftensmad,Tilmeldingsoversigt!$C$17," ")</f>
        <v>27.540983606557376</v>
      </c>
      <c r="D333" s="68" t="str">
        <f>IF(Tilmeldingsoversigt!$D$9="x",Aftensmad," ")</f>
        <v>Aftensmad</v>
      </c>
      <c r="E333" s="69">
        <f ca="1">IF(D333=Aftensmad,Tilmeldingsoversigt!$C$17," ")</f>
        <v>27.540983606557376</v>
      </c>
      <c r="F333" s="68" t="str">
        <f>IF(Tilmeldingsoversigt!$E$9="x",Aftensmad," ")</f>
        <v>Aftensmad</v>
      </c>
      <c r="G333" s="69">
        <f ca="1">IF(F333=Aftensmad,Tilmeldingsoversigt!$C$17," ")</f>
        <v>27.540983606557376</v>
      </c>
      <c r="H333" s="68" t="str">
        <f>IF(Tilmeldingsoversigt!$F$9="x",Aftensmad," ")</f>
        <v>Aftensmad</v>
      </c>
      <c r="I333" s="69">
        <f ca="1">IF(H333=Aftensmad,Tilmeldingsoversigt!$C$17," ")</f>
        <v>27.540983606557376</v>
      </c>
      <c r="J333" s="68" t="str">
        <f>IF(Tilmeldingsoversigt!$G$9="x",Aftensmad," ")</f>
        <v>Aftensmad</v>
      </c>
      <c r="K333" s="69">
        <f ca="1">IF(J333=Aftensmad,Tilmeldingsoversigt!$C$17," ")</f>
        <v>27.540983606557376</v>
      </c>
      <c r="L333" s="68" t="str">
        <f>IF(Tilmeldingsoversigt!$H$9="x",Aftensmad," ")</f>
        <v>Aftensmad</v>
      </c>
      <c r="M333" s="69">
        <f ca="1">IF(L333=Aftensmad,Tilmeldingsoversigt!$C$17," ")</f>
        <v>27.540983606557376</v>
      </c>
      <c r="N333" s="68" t="str">
        <f>IF(Tilmeldingsoversigt!$I$9="x",Aftensmad," ")</f>
        <v>Aftensmad</v>
      </c>
      <c r="O333" s="70">
        <f ca="1">IF(N333=Aftensmad,Tilmeldingsoversigt!$C$17," ")</f>
        <v>27.540983606557376</v>
      </c>
      <c r="P333" s="66"/>
    </row>
    <row r="334" spans="2:16" x14ac:dyDescent="0.25">
      <c r="B334" s="68" t="str">
        <f>IF(Tilmeldingsoversigt!$C$10="x",biret," ")</f>
        <v>Biret</v>
      </c>
      <c r="C334" s="69">
        <f>IF(B334=biret,biretpris," ")</f>
        <v>0</v>
      </c>
      <c r="D334" s="68" t="str">
        <f>IF(Tilmeldingsoversigt!$D$10="x",biret," ")</f>
        <v>Biret</v>
      </c>
      <c r="E334" s="69">
        <f>IF(D334=biret,biretpris," ")</f>
        <v>0</v>
      </c>
      <c r="F334" s="68" t="str">
        <f>IF(Tilmeldingsoversigt!$E$10="x",biret," ")</f>
        <v>Biret</v>
      </c>
      <c r="G334" s="69">
        <f>IF(F334=biret,biretpris," ")</f>
        <v>0</v>
      </c>
      <c r="H334" s="68" t="str">
        <f>IF(Tilmeldingsoversigt!$F$10="x",biret," ")</f>
        <v>Biret</v>
      </c>
      <c r="I334" s="69">
        <f>IF(H334=biret,biretpris," ")</f>
        <v>0</v>
      </c>
      <c r="J334" s="68" t="str">
        <f>IF(Tilmeldingsoversigt!$G$10="x",biret," ")</f>
        <v>Biret</v>
      </c>
      <c r="K334" s="69">
        <f>IF(J334=biret,biretpris," ")</f>
        <v>0</v>
      </c>
      <c r="L334" s="68" t="str">
        <f>IF(Tilmeldingsoversigt!$H$10="x",biret," ")</f>
        <v>Biret</v>
      </c>
      <c r="M334" s="69">
        <f>IF(L334=biret,biretpris," ")</f>
        <v>0</v>
      </c>
      <c r="N334" s="68" t="str">
        <f>IF(Tilmeldingsoversigt!$I$10="x",biret," ")</f>
        <v>Biret</v>
      </c>
      <c r="O334" s="70">
        <f>IF(N334=biret,biretpris," ")</f>
        <v>0</v>
      </c>
      <c r="P334" s="66"/>
    </row>
    <row r="335" spans="2:16" x14ac:dyDescent="0.25">
      <c r="B335" s="71" t="str">
        <f>IF(Tilmeldingsoversigt!$C$11="x",mellemmåltid," ")</f>
        <v xml:space="preserve"> </v>
      </c>
      <c r="C335" s="72" t="str">
        <f>IF(B335=mellemmåltid,mellemmåltidspris," ")</f>
        <v xml:space="preserve"> </v>
      </c>
      <c r="D335" s="71" t="str">
        <f>IF(Tilmeldingsoversigt!$C$11="x",mellemmåltid," ")</f>
        <v xml:space="preserve"> </v>
      </c>
      <c r="E335" s="72" t="str">
        <f>IF(D335=mellemmåltid,mellemmåltidspris," ")</f>
        <v xml:space="preserve"> </v>
      </c>
      <c r="F335" s="71" t="str">
        <f>IF(Tilmeldingsoversigt!$C$11="x",mellemmåltid," ")</f>
        <v xml:space="preserve"> </v>
      </c>
      <c r="G335" s="72" t="str">
        <f>IF(F335=mellemmåltid,mellemmåltidspris," ")</f>
        <v xml:space="preserve"> </v>
      </c>
      <c r="H335" s="71" t="str">
        <f>IF(Tilmeldingsoversigt!$C$11="x",mellemmåltid," ")</f>
        <v xml:space="preserve"> </v>
      </c>
      <c r="I335" s="72" t="str">
        <f>IF(H335=mellemmåltid,mellemmåltidspris," ")</f>
        <v xml:space="preserve"> </v>
      </c>
      <c r="J335" s="71" t="str">
        <f>IF(Tilmeldingsoversigt!$C$11="x",mellemmåltid," ")</f>
        <v xml:space="preserve"> </v>
      </c>
      <c r="K335" s="72" t="str">
        <f>IF(J335=mellemmåltid,mellemmåltidspris," ")</f>
        <v xml:space="preserve"> </v>
      </c>
      <c r="L335" s="71" t="str">
        <f>IF(Tilmeldingsoversigt!$C$11="x",mellemmåltid," ")</f>
        <v xml:space="preserve"> </v>
      </c>
      <c r="M335" s="72" t="str">
        <f>IF(L335=mellemmåltid,mellemmåltidspris," ")</f>
        <v xml:space="preserve"> </v>
      </c>
      <c r="N335" s="71" t="str">
        <f>IF(Tilmeldingsoversigt!$C$11="x",mellemmåltid," ")</f>
        <v xml:space="preserve"> </v>
      </c>
      <c r="O335" s="73" t="str">
        <f>IF(N335=mellemmåltid,mellemmåltidspris," ")</f>
        <v xml:space="preserve"> </v>
      </c>
      <c r="P335" s="66"/>
    </row>
    <row r="336" spans="2:16" x14ac:dyDescent="0.25">
      <c r="B336" s="74" t="s">
        <v>44</v>
      </c>
      <c r="C336" s="11">
        <f ca="1">SUM(C331:C335)</f>
        <v>99.311475409836063</v>
      </c>
      <c r="D336" s="74"/>
      <c r="E336" s="11">
        <f ca="1">SUM(E331:E335)</f>
        <v>99.311475409836063</v>
      </c>
      <c r="F336" s="74"/>
      <c r="G336" s="11">
        <f ca="1">SUM(G331:G335)</f>
        <v>99.311475409836063</v>
      </c>
      <c r="H336" s="74"/>
      <c r="I336" s="11">
        <f ca="1">SUM(I331:I335)</f>
        <v>99.311475409836063</v>
      </c>
      <c r="J336" s="74"/>
      <c r="K336" s="11">
        <f ca="1">SUM(K331:K335)</f>
        <v>99.311475409836063</v>
      </c>
      <c r="L336" s="74"/>
      <c r="M336" s="11">
        <f ca="1">SUM(M331:M335)</f>
        <v>99.311475409836063</v>
      </c>
      <c r="N336" s="74"/>
      <c r="O336" s="12">
        <f ca="1">SUM(O331:O335)</f>
        <v>99.311475409836063</v>
      </c>
      <c r="P336" s="75">
        <f ca="1">SUM(C336,E336,G336,I336,K336,M336,O336)</f>
        <v>695.18032786885237</v>
      </c>
    </row>
    <row r="337" spans="2:16" x14ac:dyDescent="0.2">
      <c r="B337" s="76"/>
      <c r="C337" s="77"/>
      <c r="D337" s="77"/>
      <c r="E337" s="77"/>
      <c r="F337" s="77"/>
      <c r="G337" s="77"/>
      <c r="H337" s="77"/>
      <c r="I337" s="77"/>
      <c r="J337" s="77"/>
      <c r="K337" s="77"/>
      <c r="L337" s="77"/>
      <c r="M337" s="77"/>
      <c r="N337" s="77"/>
      <c r="O337" s="77"/>
      <c r="P337" s="76"/>
    </row>
    <row r="338" spans="2:16" ht="12.75" x14ac:dyDescent="0.25">
      <c r="B338" s="78">
        <f>DAY(IF(DAY(JunSøn1)=1,JunSøn1+22,JunSøn1+29))</f>
        <v>24</v>
      </c>
      <c r="C338" s="79"/>
      <c r="D338" s="78">
        <f>DAY(IF(DAY(JunSøn1)=1,JunSøn1+23,JunSøn1+30))</f>
        <v>25</v>
      </c>
      <c r="E338" s="79"/>
      <c r="F338" s="78">
        <f>DAY(IF(DAY(JunSøn1)=1,JunSøn1+24,JunSøn1+31))</f>
        <v>26</v>
      </c>
      <c r="G338" s="79"/>
      <c r="H338" s="78">
        <f>DAY(IF(DAY(JunSøn1)=1,JunSøn1+25,JunSøn1+32))</f>
        <v>27</v>
      </c>
      <c r="I338" s="79"/>
      <c r="J338" s="78">
        <f>DAY(IF(DAY(JunSøn1)=1,JunSøn1+26,JunSøn1+33))</f>
        <v>28</v>
      </c>
      <c r="K338" s="79"/>
      <c r="L338" s="78">
        <f>DAY(IF(DAY(JunSøn1)=1,JunSøn1+27,JunSøn1+34))</f>
        <v>29</v>
      </c>
      <c r="M338" s="79"/>
      <c r="N338" s="78">
        <f>DAY(IF(DAY(JunSøn1)=1,JunSøn1+28,JunSøn1+35))</f>
        <v>30</v>
      </c>
      <c r="O338" s="79"/>
      <c r="P338" s="80"/>
    </row>
    <row r="339" spans="2:16" x14ac:dyDescent="0.25">
      <c r="B339" s="64" t="s">
        <v>42</v>
      </c>
      <c r="C339" s="81" t="s">
        <v>43</v>
      </c>
      <c r="D339" s="64" t="s">
        <v>42</v>
      </c>
      <c r="E339" s="81" t="s">
        <v>43</v>
      </c>
      <c r="F339" s="64" t="s">
        <v>42</v>
      </c>
      <c r="G339" s="81" t="s">
        <v>43</v>
      </c>
      <c r="H339" s="64" t="s">
        <v>42</v>
      </c>
      <c r="I339" s="81" t="s">
        <v>43</v>
      </c>
      <c r="J339" s="64" t="s">
        <v>42</v>
      </c>
      <c r="K339" s="81" t="s">
        <v>43</v>
      </c>
      <c r="L339" s="64" t="s">
        <v>42</v>
      </c>
      <c r="M339" s="81" t="s">
        <v>43</v>
      </c>
      <c r="N339" s="64" t="s">
        <v>42</v>
      </c>
      <c r="O339" s="82" t="s">
        <v>43</v>
      </c>
      <c r="P339" s="66"/>
    </row>
    <row r="340" spans="2:16" x14ac:dyDescent="0.25">
      <c r="B340" s="136" t="str">
        <f>IF(Tilmeldingsoversigt!$C$7="x",Morgenmad," ")</f>
        <v>Morgenmad</v>
      </c>
      <c r="C340" s="67">
        <f ca="1">IF(B340=Morgenmad,Tilmeldingsoversigt!$C$15," ")</f>
        <v>16.754098360655739</v>
      </c>
      <c r="D340" s="136" t="str">
        <f>IF(Tilmeldingsoversigt!$D$7="x",Morgenmad," ")</f>
        <v>Morgenmad</v>
      </c>
      <c r="E340" s="67">
        <f ca="1">IF(D340=Morgenmad,Tilmeldingsoversigt!$C$15," ")</f>
        <v>16.754098360655739</v>
      </c>
      <c r="F340" s="136" t="str">
        <f>IF(Tilmeldingsoversigt!$E$7="x",Morgenmad," ")</f>
        <v>Morgenmad</v>
      </c>
      <c r="G340" s="67">
        <f ca="1">IF(F340=Morgenmad,Tilmeldingsoversigt!$C$15," ")</f>
        <v>16.754098360655739</v>
      </c>
      <c r="H340" s="136" t="str">
        <f>IF(Tilmeldingsoversigt!$F$7="x",Morgenmad," ")</f>
        <v>Morgenmad</v>
      </c>
      <c r="I340" s="67">
        <f ca="1">IF(H340=Morgenmad,Tilmeldingsoversigt!$C$15," ")</f>
        <v>16.754098360655739</v>
      </c>
      <c r="J340" s="136"/>
      <c r="K340" s="67"/>
      <c r="L340" s="136"/>
      <c r="M340" s="67"/>
      <c r="N340" s="139"/>
      <c r="O340" s="86"/>
      <c r="P340" s="66"/>
    </row>
    <row r="341" spans="2:16" x14ac:dyDescent="0.25">
      <c r="B341" s="68" t="str">
        <f>IF(Tilmeldingsoversigt!$C$8="x",hovedret," ")</f>
        <v>Hovedret</v>
      </c>
      <c r="C341" s="69">
        <f ca="1">IF(B341=hovedret,Tilmeldingsoversigt!$C$16," ")</f>
        <v>55.016393442622949</v>
      </c>
      <c r="D341" s="68" t="str">
        <f>IF(Tilmeldingsoversigt!$D$8="x",hovedret," ")</f>
        <v>Hovedret</v>
      </c>
      <c r="E341" s="69">
        <f ca="1">IF(D341=hovedret,Tilmeldingsoversigt!$C$16," ")</f>
        <v>55.016393442622949</v>
      </c>
      <c r="F341" s="68" t="str">
        <f>IF(Tilmeldingsoversigt!$E$8="x",hovedret," ")</f>
        <v>Hovedret</v>
      </c>
      <c r="G341" s="69">
        <f ca="1">IF(F341=hovedret,Tilmeldingsoversigt!$C$16," ")</f>
        <v>55.016393442622949</v>
      </c>
      <c r="H341" s="68" t="str">
        <f>IF(Tilmeldingsoversigt!$F$8="x",hovedret," ")</f>
        <v>Hovedret</v>
      </c>
      <c r="I341" s="69">
        <f ca="1">IF(H341=hovedret,Tilmeldingsoversigt!$C$16," ")</f>
        <v>55.016393442622949</v>
      </c>
      <c r="J341" s="68"/>
      <c r="K341" s="69"/>
      <c r="L341" s="68"/>
      <c r="M341" s="69"/>
      <c r="N341" s="87"/>
      <c r="O341" s="88"/>
      <c r="P341" s="66"/>
    </row>
    <row r="342" spans="2:16" x14ac:dyDescent="0.25">
      <c r="B342" s="68" t="str">
        <f>IF(Tilmeldingsoversigt!$C$9="x",Aftensmad," ")</f>
        <v>Aftensmad</v>
      </c>
      <c r="C342" s="69">
        <f ca="1">IF(B342=Aftensmad,Tilmeldingsoversigt!$C$17," ")</f>
        <v>27.540983606557376</v>
      </c>
      <c r="D342" s="68" t="str">
        <f>IF(Tilmeldingsoversigt!$D$9="x",Aftensmad," ")</f>
        <v>Aftensmad</v>
      </c>
      <c r="E342" s="69">
        <f ca="1">IF(D342=Aftensmad,Tilmeldingsoversigt!$C$17," ")</f>
        <v>27.540983606557376</v>
      </c>
      <c r="F342" s="68" t="str">
        <f>IF(Tilmeldingsoversigt!$E$9="x",Aftensmad," ")</f>
        <v>Aftensmad</v>
      </c>
      <c r="G342" s="69">
        <f ca="1">IF(F342=Aftensmad,Tilmeldingsoversigt!$C$17," ")</f>
        <v>27.540983606557376</v>
      </c>
      <c r="H342" s="68" t="str">
        <f>IF(Tilmeldingsoversigt!$F$9="x",Aftensmad," ")</f>
        <v>Aftensmad</v>
      </c>
      <c r="I342" s="69">
        <f ca="1">IF(H342=Aftensmad,Tilmeldingsoversigt!$C$17," ")</f>
        <v>27.540983606557376</v>
      </c>
      <c r="J342" s="68"/>
      <c r="K342" s="69"/>
      <c r="L342" s="68"/>
      <c r="M342" s="69"/>
      <c r="N342" s="87"/>
      <c r="O342" s="88"/>
      <c r="P342" s="66"/>
    </row>
    <row r="343" spans="2:16" x14ac:dyDescent="0.25">
      <c r="B343" s="68" t="str">
        <f>IF(Tilmeldingsoversigt!$C$10="x",biret," ")</f>
        <v>Biret</v>
      </c>
      <c r="C343" s="69">
        <f>IF(B343=biret,biretpris," ")</f>
        <v>0</v>
      </c>
      <c r="D343" s="68" t="str">
        <f>IF(Tilmeldingsoversigt!$D$10="x",biret," ")</f>
        <v>Biret</v>
      </c>
      <c r="E343" s="69">
        <f>IF(D343=biret,biretpris," ")</f>
        <v>0</v>
      </c>
      <c r="F343" s="68" t="str">
        <f>IF(Tilmeldingsoversigt!$E$10="x",biret," ")</f>
        <v>Biret</v>
      </c>
      <c r="G343" s="69">
        <f>IF(F343=biret,biretpris," ")</f>
        <v>0</v>
      </c>
      <c r="H343" s="68" t="str">
        <f>IF(Tilmeldingsoversigt!$F$10="x",biret," ")</f>
        <v>Biret</v>
      </c>
      <c r="I343" s="69">
        <f>IF(H343=biret,biretpris," ")</f>
        <v>0</v>
      </c>
      <c r="J343" s="68"/>
      <c r="K343" s="69"/>
      <c r="L343" s="68"/>
      <c r="M343" s="69"/>
      <c r="N343" s="87"/>
      <c r="O343" s="88"/>
      <c r="P343" s="66"/>
    </row>
    <row r="344" spans="2:16" x14ac:dyDescent="0.25">
      <c r="B344" s="71" t="str">
        <f>IF(Tilmeldingsoversigt!$C$11="x",mellemmåltid," ")</f>
        <v xml:space="preserve"> </v>
      </c>
      <c r="C344" s="72" t="str">
        <f>IF(B344=mellemmåltid,mellemmåltidspris," ")</f>
        <v xml:space="preserve"> </v>
      </c>
      <c r="D344" s="71" t="str">
        <f>IF(Tilmeldingsoversigt!$C$11="x",mellemmåltid," ")</f>
        <v xml:space="preserve"> </v>
      </c>
      <c r="E344" s="72" t="str">
        <f>IF(D344=mellemmåltid,mellemmåltidspris," ")</f>
        <v xml:space="preserve"> </v>
      </c>
      <c r="F344" s="71" t="str">
        <f>IF(Tilmeldingsoversigt!$C$11="x",mellemmåltid," ")</f>
        <v xml:space="preserve"> </v>
      </c>
      <c r="G344" s="72" t="str">
        <f>IF(F344=mellemmåltid,mellemmåltidspris," ")</f>
        <v xml:space="preserve"> </v>
      </c>
      <c r="H344" s="71" t="str">
        <f>IF(Tilmeldingsoversigt!$C$11="x",mellemmåltid," ")</f>
        <v xml:space="preserve"> </v>
      </c>
      <c r="I344" s="72" t="str">
        <f>IF(H344=mellemmåltid,mellemmåltidspris," ")</f>
        <v xml:space="preserve"> </v>
      </c>
      <c r="J344" s="71"/>
      <c r="K344" s="72"/>
      <c r="L344" s="71"/>
      <c r="M344" s="72"/>
      <c r="N344" s="89"/>
      <c r="O344" s="90"/>
      <c r="P344" s="66"/>
    </row>
    <row r="345" spans="2:16" x14ac:dyDescent="0.25">
      <c r="B345" s="74" t="s">
        <v>44</v>
      </c>
      <c r="C345" s="11">
        <f ca="1">SUM(C340:C344)</f>
        <v>99.311475409836063</v>
      </c>
      <c r="D345" s="74"/>
      <c r="E345" s="11">
        <f ca="1">SUM(E340:E344)</f>
        <v>99.311475409836063</v>
      </c>
      <c r="F345" s="74"/>
      <c r="G345" s="11">
        <f ca="1">SUM(G340:G344)</f>
        <v>99.311475409836063</v>
      </c>
      <c r="H345" s="74"/>
      <c r="I345" s="11">
        <f ca="1">SUM(I340:I344)</f>
        <v>99.311475409836063</v>
      </c>
      <c r="J345" s="74"/>
      <c r="K345" s="11">
        <f>SUM(K340:K344)</f>
        <v>0</v>
      </c>
      <c r="L345" s="74"/>
      <c r="M345" s="11">
        <f>SUM(M340:M344)</f>
        <v>0</v>
      </c>
      <c r="N345" s="74"/>
      <c r="O345" s="12">
        <f>SUM(O340:O344)</f>
        <v>0</v>
      </c>
      <c r="P345" s="75">
        <f ca="1">SUMIF(B338:N338,"&gt;="&amp;15,C345:O345)</f>
        <v>397.24590163934425</v>
      </c>
    </row>
    <row r="346" spans="2:16" x14ac:dyDescent="0.2">
      <c r="B346" s="76"/>
      <c r="C346" s="77"/>
      <c r="D346" s="77"/>
      <c r="E346" s="77"/>
      <c r="F346" s="77"/>
      <c r="G346" s="77"/>
      <c r="H346" s="77"/>
      <c r="I346" s="77"/>
      <c r="J346" s="77"/>
      <c r="K346" s="77"/>
      <c r="L346" s="77"/>
      <c r="M346" s="77"/>
      <c r="N346" s="77"/>
      <c r="O346" s="77"/>
      <c r="P346" s="76"/>
    </row>
    <row r="347" spans="2:16" ht="12.75" hidden="1" x14ac:dyDescent="0.25">
      <c r="B347" s="78">
        <f>DAY(IF(DAY(JunSøn1)=1,JunSøn1+29,JunSøn1+36))</f>
        <v>1</v>
      </c>
      <c r="C347" s="91"/>
      <c r="D347" s="78">
        <f>DAY(IF(DAY(JunSøn1)=1,JunSøn1+30,JunSøn1+37))</f>
        <v>2</v>
      </c>
      <c r="E347" s="79"/>
      <c r="F347" s="92">
        <f>DAY(IF(DAY(JunSøn1)=1,JunSøn1+31,JunSøn1+38))</f>
        <v>3</v>
      </c>
      <c r="G347" s="79"/>
      <c r="H347" s="78">
        <f>DAY(IF(DAY(JunSøn1)=1,JunSøn1+32,JunSøn1+39))</f>
        <v>4</v>
      </c>
      <c r="I347" s="79"/>
      <c r="J347" s="78">
        <f>DAY(IF(DAY(JunSøn1)=1,JunSøn1+33,JunSøn1+40))</f>
        <v>5</v>
      </c>
      <c r="K347" s="79"/>
      <c r="L347" s="78">
        <f>DAY(IF(DAY(JunSøn1)=1,JunSøn1+34,JunSøn1+41))</f>
        <v>6</v>
      </c>
      <c r="M347" s="79"/>
      <c r="N347" s="78">
        <f>DAY(IF(DAY(JunSøn1)=1,JunSøn1+35,JunSøn1+42))</f>
        <v>7</v>
      </c>
      <c r="O347" s="79"/>
      <c r="P347" s="85"/>
    </row>
    <row r="348" spans="2:16" hidden="1" x14ac:dyDescent="0.25">
      <c r="B348" s="64" t="s">
        <v>42</v>
      </c>
      <c r="C348" s="81" t="s">
        <v>43</v>
      </c>
      <c r="D348" s="64" t="s">
        <v>42</v>
      </c>
      <c r="E348" s="81" t="s">
        <v>43</v>
      </c>
      <c r="F348" s="64" t="s">
        <v>42</v>
      </c>
      <c r="G348" s="81" t="s">
        <v>43</v>
      </c>
      <c r="H348" s="64" t="s">
        <v>42</v>
      </c>
      <c r="I348" s="81" t="s">
        <v>43</v>
      </c>
      <c r="J348" s="64" t="s">
        <v>42</v>
      </c>
      <c r="K348" s="81" t="s">
        <v>43</v>
      </c>
      <c r="L348" s="64" t="s">
        <v>42</v>
      </c>
      <c r="M348" s="81" t="s">
        <v>43</v>
      </c>
      <c r="N348" s="64" t="s">
        <v>42</v>
      </c>
      <c r="O348" s="82" t="s">
        <v>43</v>
      </c>
      <c r="P348" s="66"/>
    </row>
    <row r="349" spans="2:16" hidden="1" x14ac:dyDescent="0.25">
      <c r="B349" s="136"/>
      <c r="C349" s="67"/>
      <c r="D349" s="136"/>
      <c r="E349" s="67"/>
      <c r="F349" s="136"/>
      <c r="G349" s="67"/>
      <c r="H349" s="136"/>
      <c r="I349" s="67"/>
      <c r="J349" s="136"/>
      <c r="K349" s="67"/>
      <c r="L349" s="136"/>
      <c r="M349" s="67"/>
      <c r="N349" s="136"/>
      <c r="O349" s="83" t="str">
        <f>IF(N349=Morgenmad,Tilmeldingsoversigt!$C$15," ")</f>
        <v xml:space="preserve"> </v>
      </c>
      <c r="P349" s="66"/>
    </row>
    <row r="350" spans="2:16" hidden="1" x14ac:dyDescent="0.25">
      <c r="B350" s="68"/>
      <c r="C350" s="69"/>
      <c r="D350" s="68"/>
      <c r="E350" s="69"/>
      <c r="F350" s="68"/>
      <c r="G350" s="69"/>
      <c r="H350" s="68"/>
      <c r="I350" s="69"/>
      <c r="J350" s="68"/>
      <c r="K350" s="69"/>
      <c r="L350" s="68"/>
      <c r="M350" s="69"/>
      <c r="N350" s="68"/>
      <c r="O350" s="70" t="str">
        <f>IF(N350=hovedret,Tilmeldingsoversigt!$C$16," ")</f>
        <v xml:space="preserve"> </v>
      </c>
      <c r="P350" s="66"/>
    </row>
    <row r="351" spans="2:16" hidden="1" x14ac:dyDescent="0.25">
      <c r="B351" s="68"/>
      <c r="C351" s="69"/>
      <c r="D351" s="68"/>
      <c r="E351" s="69"/>
      <c r="F351" s="68"/>
      <c r="G351" s="69"/>
      <c r="H351" s="68"/>
      <c r="I351" s="69"/>
      <c r="J351" s="68"/>
      <c r="K351" s="69"/>
      <c r="L351" s="68"/>
      <c r="M351" s="69"/>
      <c r="N351" s="68"/>
      <c r="O351" s="70" t="str">
        <f>IF(N351=Aftensmad,Tilmeldingsoversigt!$C$17," ")</f>
        <v xml:space="preserve"> </v>
      </c>
      <c r="P351" s="66"/>
    </row>
    <row r="352" spans="2:16" hidden="1" x14ac:dyDescent="0.25">
      <c r="B352" s="68"/>
      <c r="C352" s="69"/>
      <c r="D352" s="68"/>
      <c r="E352" s="69"/>
      <c r="F352" s="68"/>
      <c r="G352" s="69"/>
      <c r="H352" s="68"/>
      <c r="I352" s="69"/>
      <c r="J352" s="68"/>
      <c r="K352" s="69"/>
      <c r="L352" s="68"/>
      <c r="M352" s="69"/>
      <c r="N352" s="68"/>
      <c r="O352" s="70"/>
      <c r="P352" s="66"/>
    </row>
    <row r="353" spans="2:16" hidden="1" x14ac:dyDescent="0.25">
      <c r="B353" s="71"/>
      <c r="C353" s="72"/>
      <c r="D353" s="71"/>
      <c r="E353" s="72"/>
      <c r="F353" s="71"/>
      <c r="G353" s="72"/>
      <c r="H353" s="71"/>
      <c r="I353" s="72"/>
      <c r="J353" s="71"/>
      <c r="K353" s="72"/>
      <c r="L353" s="71"/>
      <c r="M353" s="72"/>
      <c r="N353" s="71"/>
      <c r="O353" s="73"/>
      <c r="P353" s="66"/>
    </row>
    <row r="354" spans="2:16" hidden="1" x14ac:dyDescent="0.25">
      <c r="B354" s="74" t="s">
        <v>44</v>
      </c>
      <c r="C354" s="11">
        <f>SUM(C349:C353)</f>
        <v>0</v>
      </c>
      <c r="D354" s="74"/>
      <c r="E354" s="11">
        <f>SUM(E349:E353)</f>
        <v>0</v>
      </c>
      <c r="F354" s="74"/>
      <c r="G354" s="11">
        <f>SUM(G349:G353)</f>
        <v>0</v>
      </c>
      <c r="H354" s="74"/>
      <c r="I354" s="11">
        <f>SUM(I349:I353)</f>
        <v>0</v>
      </c>
      <c r="J354" s="74"/>
      <c r="K354" s="11">
        <f>SUM(K349:K353)</f>
        <v>0</v>
      </c>
      <c r="L354" s="74"/>
      <c r="M354" s="11">
        <f>SUM(M349:M353)</f>
        <v>0</v>
      </c>
      <c r="N354" s="74"/>
      <c r="O354" s="12">
        <f>SUM(O349:O353)</f>
        <v>0</v>
      </c>
      <c r="P354" s="75">
        <f>SUMIF(B347:N347,"&gt;="&amp;15,C354:O354)</f>
        <v>0</v>
      </c>
    </row>
    <row r="355" spans="2:16" ht="17.25" customHeight="1" x14ac:dyDescent="0.2"/>
    <row r="356" spans="2:16" ht="15" x14ac:dyDescent="0.25">
      <c r="B356" s="246" t="s">
        <v>50</v>
      </c>
      <c r="C356" s="246"/>
      <c r="D356" s="246"/>
      <c r="E356" s="246"/>
      <c r="F356" s="51" t="s">
        <v>82</v>
      </c>
      <c r="G356" s="51"/>
      <c r="H356" s="51"/>
      <c r="I356" s="51"/>
      <c r="J356" s="51"/>
      <c r="K356" s="51"/>
      <c r="L356" s="247" t="s">
        <v>83</v>
      </c>
      <c r="M356" s="247"/>
      <c r="N356" s="247" t="s">
        <v>85</v>
      </c>
      <c r="O356" s="247"/>
      <c r="P356" s="49"/>
    </row>
    <row r="357" spans="2:16" ht="25.5" customHeight="1" x14ac:dyDescent="0.25">
      <c r="B357" s="246"/>
      <c r="C357" s="246"/>
      <c r="D357" s="246"/>
      <c r="E357" s="246"/>
      <c r="F357" s="97" t="str">
        <f>Morgenmad</f>
        <v>Morgenmad</v>
      </c>
      <c r="G357" s="97">
        <f ca="1">IF(juli_sum=0,0,(COUNTIF($B$363:$O$412,F357)-'Tilmeldte måltider'!G362))</f>
        <v>0</v>
      </c>
      <c r="H357" s="97" t="str">
        <f>hovedret</f>
        <v>Hovedret</v>
      </c>
      <c r="I357" s="97">
        <f ca="1">IF(juli_sum=0,0,(COUNTIF(B362:O411,hovedret)-'Tilmeldte måltider'!I362))</f>
        <v>0</v>
      </c>
      <c r="J357" s="97" t="str">
        <f>Aftensmad</f>
        <v>Aftensmad</v>
      </c>
      <c r="K357" s="97">
        <f ca="1">IF(juli_sum=0,0,(COUNTIF(B362:O411,Aftensmad)-'Tilmeldte måltider'!K362))</f>
        <v>0</v>
      </c>
      <c r="L357" s="268" t="e">
        <f ca="1">(G357*Morgenpris)+(I357*Frokostpris)+(K357*Aftenpris)+(G358*biretpris)+(I358*mellemmåltidspris)+(M358*gæstehpris)+(O358*gæstebpris)</f>
        <v>#VALUE!</v>
      </c>
      <c r="M357" s="269"/>
      <c r="N357" s="270" t="e">
        <f ca="1">$L$357+$L$416+$L$475+$L$534+$L$593+$L$652</f>
        <v>#VALUE!</v>
      </c>
      <c r="O357" s="271"/>
      <c r="P357" s="49"/>
    </row>
    <row r="358" spans="2:16" ht="25.5" customHeight="1" x14ac:dyDescent="0.45">
      <c r="B358" s="121"/>
      <c r="C358" s="121"/>
      <c r="D358" s="121"/>
      <c r="E358" s="121"/>
      <c r="F358" s="98" t="str">
        <f>biret</f>
        <v>Biret</v>
      </c>
      <c r="G358" s="97">
        <f ca="1">IF(juli_sum=0,0,(COUNTIF($B$363:$O$412,F358)-'Tilmeldte måltider'!G363))</f>
        <v>0</v>
      </c>
      <c r="H358" s="98" t="str">
        <f>mellemmåltid</f>
        <v>Mellemmåltid</v>
      </c>
      <c r="I358" s="97">
        <f ca="1">IF(juli_sum=0,0,(COUNTIF($B$363:$O$412,H358)-'Tilmeldte måltider'!I363))</f>
        <v>0</v>
      </c>
      <c r="J358" s="140" t="s">
        <v>105</v>
      </c>
      <c r="K358" s="140"/>
      <c r="L358" s="141" t="s">
        <v>25</v>
      </c>
      <c r="M358" s="100"/>
      <c r="N358" s="141" t="s">
        <v>15</v>
      </c>
      <c r="O358" s="100"/>
      <c r="P358" s="49"/>
    </row>
    <row r="359" spans="2:16" ht="9" customHeight="1" x14ac:dyDescent="0.2">
      <c r="B359" s="251">
        <v>1</v>
      </c>
      <c r="C359" s="251"/>
      <c r="D359" s="251">
        <v>2</v>
      </c>
      <c r="E359" s="251"/>
      <c r="F359" s="251">
        <v>3</v>
      </c>
      <c r="G359" s="251"/>
      <c r="H359" s="251">
        <v>4</v>
      </c>
      <c r="I359" s="251"/>
      <c r="J359" s="251">
        <v>5</v>
      </c>
      <c r="K359" s="251"/>
      <c r="L359" s="251">
        <v>6</v>
      </c>
      <c r="M359" s="251"/>
      <c r="N359" s="251">
        <v>7</v>
      </c>
      <c r="O359" s="251"/>
      <c r="P359" s="50"/>
    </row>
    <row r="360" spans="2:16" ht="15" customHeight="1" x14ac:dyDescent="0.25">
      <c r="B360" s="252" t="s">
        <v>34</v>
      </c>
      <c r="C360" s="253"/>
      <c r="D360" s="254" t="s">
        <v>35</v>
      </c>
      <c r="E360" s="255" t="e">
        <f>IF(WEEKDAY(DATEVALUE(Month1&amp;" 1, "&amp;Year1))=COLUMN(#REF!),1,IF(LEN(C360)&gt;0,C360+1,""))</f>
        <v>#NAME?</v>
      </c>
      <c r="F360" s="253" t="s">
        <v>36</v>
      </c>
      <c r="G360" s="253" t="e">
        <f>IF(WEEKDAY(DATEVALUE(Month1&amp;" 1, "&amp;Year1))=COLUMN(#REF!),1,IF(LEN(E360)&gt;0,E360+1,""))</f>
        <v>#NAME?</v>
      </c>
      <c r="H360" s="254" t="s">
        <v>37</v>
      </c>
      <c r="I360" s="255" t="e">
        <f>IF(WEEKDAY(DATEVALUE(Month1&amp;" 1, "&amp;Year1))=COLUMN(#REF!),1,IF(LEN(G360)&gt;0,G360+1,""))</f>
        <v>#NAME?</v>
      </c>
      <c r="J360" s="256" t="s">
        <v>38</v>
      </c>
      <c r="K360" s="257" t="e">
        <f>IF(WEEKDAY(DATEVALUE(Month1&amp;" 1, "&amp;Year1))=COLUMN(#REF!),1,IF(LEN(I360)&gt;0,I360+1,""))</f>
        <v>#NAME?</v>
      </c>
      <c r="L360" s="258" t="s">
        <v>39</v>
      </c>
      <c r="M360" s="259" t="e">
        <f>IF(WEEKDAY(DATEVALUE(Month1&amp;" 1, "&amp;Year1))=COLUMN(#REF!),1,IF(LEN(K360)&gt;0,K360+1,""))</f>
        <v>#NAME?</v>
      </c>
      <c r="N360" s="258" t="s">
        <v>40</v>
      </c>
      <c r="O360" s="259" t="e">
        <f>IF(WEEKDAY(DATEVALUE(Month1&amp;" 1, "&amp;Year1))=COLUMN(#REF!),1,IF(LEN(M360)&gt;0,M360+1,""))</f>
        <v>#NAME?</v>
      </c>
      <c r="P360" s="53" t="s">
        <v>41</v>
      </c>
    </row>
    <row r="361" spans="2:16" ht="12.75" x14ac:dyDescent="0.25">
      <c r="B361" s="55">
        <f>DAY(IF(DAY(JulSøn1)=1,JulSøn1-6,JulSøn1+1))</f>
        <v>1</v>
      </c>
      <c r="C361" s="56"/>
      <c r="D361" s="57">
        <f>DAY(IF(DAY(JulSøn1)=1,JulSøn1-5,JulSøn1+2))</f>
        <v>2</v>
      </c>
      <c r="E361" s="56"/>
      <c r="F361" s="57">
        <f>DAY(IF(DAY(JulSøn1)=1,JulSøn1-4,JulSøn1+3))</f>
        <v>3</v>
      </c>
      <c r="G361" s="56"/>
      <c r="H361" s="57">
        <f>DAY(IF(DAY(JulSøn1)=1,JulSøn1-3,JulSøn1+4))</f>
        <v>4</v>
      </c>
      <c r="I361" s="56"/>
      <c r="J361" s="57">
        <f>DAY(IF(DAY(JulSøn1)=1,JulSøn1-2,JulSøn1+5))</f>
        <v>5</v>
      </c>
      <c r="K361" s="56"/>
      <c r="L361" s="57">
        <f>DAY(IF(DAY(JulSøn1)=1,JulSøn1-1,JulSøn1+6))</f>
        <v>6</v>
      </c>
      <c r="M361" s="56"/>
      <c r="N361" s="58">
        <f>DAY(IF(DAY(JulSøn1)=1,JulSøn1,JulSøn1+7))</f>
        <v>7</v>
      </c>
      <c r="O361" s="59"/>
      <c r="P361" s="60"/>
    </row>
    <row r="362" spans="2:16" x14ac:dyDescent="0.25">
      <c r="B362" s="61" t="s">
        <v>42</v>
      </c>
      <c r="C362" s="62" t="s">
        <v>43</v>
      </c>
      <c r="D362" s="63" t="s">
        <v>42</v>
      </c>
      <c r="E362" s="62" t="s">
        <v>43</v>
      </c>
      <c r="F362" s="63" t="s">
        <v>42</v>
      </c>
      <c r="G362" s="62" t="s">
        <v>43</v>
      </c>
      <c r="H362" s="63" t="s">
        <v>42</v>
      </c>
      <c r="I362" s="62" t="s">
        <v>43</v>
      </c>
      <c r="J362" s="63" t="s">
        <v>42</v>
      </c>
      <c r="K362" s="62" t="s">
        <v>43</v>
      </c>
      <c r="L362" s="63" t="s">
        <v>42</v>
      </c>
      <c r="M362" s="62" t="s">
        <v>43</v>
      </c>
      <c r="N362" s="64" t="s">
        <v>42</v>
      </c>
      <c r="O362" s="65" t="s">
        <v>43</v>
      </c>
      <c r="P362" s="66"/>
    </row>
    <row r="363" spans="2:16" x14ac:dyDescent="0.25">
      <c r="B363" s="136"/>
      <c r="C363" s="67"/>
      <c r="D363" s="136"/>
      <c r="E363" s="67"/>
      <c r="F363" s="136"/>
      <c r="G363" s="67"/>
      <c r="H363" s="136"/>
      <c r="I363" s="67"/>
      <c r="J363" s="136" t="str">
        <f>IF(Tilmeldingsoversigt!$G$7="x",Morgenmad," ")</f>
        <v>Morgenmad</v>
      </c>
      <c r="K363" s="67">
        <f ca="1">IF(J363=Morgenmad,Tilmeldingsoversigt!$C$15," ")</f>
        <v>16.754098360655739</v>
      </c>
      <c r="L363" s="136" t="str">
        <f>IF(Tilmeldingsoversigt!$H$7="x",Morgenmad," ")</f>
        <v>Morgenmad</v>
      </c>
      <c r="M363" s="67">
        <f ca="1">IF(L363=Morgenmad,Tilmeldingsoversigt!$C$15," ")</f>
        <v>16.754098360655739</v>
      </c>
      <c r="N363" s="136" t="str">
        <f>IF(Tilmeldingsoversigt!$I$7="x",Morgenmad," ")</f>
        <v>Morgenmad</v>
      </c>
      <c r="O363" s="83">
        <f ca="1">IF(N363=Morgenmad,Tilmeldingsoversigt!$C$15," ")</f>
        <v>16.754098360655739</v>
      </c>
      <c r="P363" s="66"/>
    </row>
    <row r="364" spans="2:16" x14ac:dyDescent="0.25">
      <c r="B364" s="68"/>
      <c r="C364" s="69"/>
      <c r="D364" s="68"/>
      <c r="E364" s="69"/>
      <c r="F364" s="68"/>
      <c r="G364" s="69"/>
      <c r="H364" s="68"/>
      <c r="I364" s="69"/>
      <c r="J364" s="68" t="str">
        <f>IF(Tilmeldingsoversigt!$G$8="x",hovedret," ")</f>
        <v>Hovedret</v>
      </c>
      <c r="K364" s="69">
        <f ca="1">IF(J364=hovedret,Tilmeldingsoversigt!$C$16," ")</f>
        <v>55.016393442622949</v>
      </c>
      <c r="L364" s="68" t="str">
        <f>IF(Tilmeldingsoversigt!$H$8="x",hovedret," ")</f>
        <v>Hovedret</v>
      </c>
      <c r="M364" s="69">
        <f ca="1">IF(L364=hovedret,Tilmeldingsoversigt!$C$16," ")</f>
        <v>55.016393442622949</v>
      </c>
      <c r="N364" s="68" t="str">
        <f>IF(Tilmeldingsoversigt!$I$8="x",hovedret," ")</f>
        <v>Hovedret</v>
      </c>
      <c r="O364" s="70">
        <f ca="1">IF(N364=hovedret,Tilmeldingsoversigt!$C$16," ")</f>
        <v>55.016393442622949</v>
      </c>
      <c r="P364" s="66"/>
    </row>
    <row r="365" spans="2:16" x14ac:dyDescent="0.25">
      <c r="B365" s="68"/>
      <c r="C365" s="69"/>
      <c r="D365" s="68"/>
      <c r="E365" s="69"/>
      <c r="F365" s="68"/>
      <c r="G365" s="69"/>
      <c r="H365" s="68"/>
      <c r="I365" s="69"/>
      <c r="J365" s="68" t="str">
        <f>IF(Tilmeldingsoversigt!$G$9="x",Aftensmad," ")</f>
        <v>Aftensmad</v>
      </c>
      <c r="K365" s="69">
        <f ca="1">IF(J365=Aftensmad,Tilmeldingsoversigt!$C$17," ")</f>
        <v>27.540983606557376</v>
      </c>
      <c r="L365" s="68" t="str">
        <f>IF(Tilmeldingsoversigt!$H$9="x",Aftensmad," ")</f>
        <v>Aftensmad</v>
      </c>
      <c r="M365" s="69">
        <f ca="1">IF(L365=Aftensmad,Tilmeldingsoversigt!$C$17," ")</f>
        <v>27.540983606557376</v>
      </c>
      <c r="N365" s="68" t="str">
        <f>IF(Tilmeldingsoversigt!$I$9="x",Aftensmad," ")</f>
        <v>Aftensmad</v>
      </c>
      <c r="O365" s="70">
        <f ca="1">IF(N365=Aftensmad,Tilmeldingsoversigt!$C$17," ")</f>
        <v>27.540983606557376</v>
      </c>
      <c r="P365" s="66"/>
    </row>
    <row r="366" spans="2:16" x14ac:dyDescent="0.25">
      <c r="B366" s="68"/>
      <c r="C366" s="69"/>
      <c r="D366" s="68"/>
      <c r="E366" s="69"/>
      <c r="F366" s="68"/>
      <c r="G366" s="69"/>
      <c r="H366" s="68"/>
      <c r="I366" s="69"/>
      <c r="J366" s="68" t="str">
        <f>IF(Tilmeldingsoversigt!$G$10="x",biret," ")</f>
        <v>Biret</v>
      </c>
      <c r="K366" s="69">
        <f>IF(J366=biret,biretpris," ")</f>
        <v>0</v>
      </c>
      <c r="L366" s="68" t="str">
        <f>IF(Tilmeldingsoversigt!$H$10="x",biret," ")</f>
        <v>Biret</v>
      </c>
      <c r="M366" s="69">
        <f>IF(L366=biret,biretpris," ")</f>
        <v>0</v>
      </c>
      <c r="N366" s="68" t="str">
        <f>IF(Tilmeldingsoversigt!$I$10="x",biret," ")</f>
        <v>Biret</v>
      </c>
      <c r="O366" s="70">
        <f>IF(N366=biret,biretpris," ")</f>
        <v>0</v>
      </c>
      <c r="P366" s="66"/>
    </row>
    <row r="367" spans="2:16" x14ac:dyDescent="0.25">
      <c r="B367" s="71"/>
      <c r="C367" s="72"/>
      <c r="D367" s="71"/>
      <c r="E367" s="72"/>
      <c r="F367" s="71"/>
      <c r="G367" s="72"/>
      <c r="H367" s="71"/>
      <c r="I367" s="72"/>
      <c r="J367" s="71" t="str">
        <f>IF(Tilmeldingsoversigt!$C$11="x",mellemmåltid," ")</f>
        <v xml:space="preserve"> </v>
      </c>
      <c r="K367" s="72" t="str">
        <f>IF(J367=mellemmåltid,mellemmåltidspris," ")</f>
        <v xml:space="preserve"> </v>
      </c>
      <c r="L367" s="71" t="str">
        <f>IF(Tilmeldingsoversigt!$C$11="x",mellemmåltid," ")</f>
        <v xml:space="preserve"> </v>
      </c>
      <c r="M367" s="72" t="str">
        <f>IF(L367=mellemmåltid,mellemmåltidspris," ")</f>
        <v xml:space="preserve"> </v>
      </c>
      <c r="N367" s="71" t="str">
        <f>IF(Tilmeldingsoversigt!$C$11="x",mellemmåltid," ")</f>
        <v xml:space="preserve"> </v>
      </c>
      <c r="O367" s="73" t="str">
        <f>IF(N367=mellemmåltid,mellemmåltidspris," ")</f>
        <v xml:space="preserve"> </v>
      </c>
      <c r="P367" s="66"/>
    </row>
    <row r="368" spans="2:16" x14ac:dyDescent="0.25">
      <c r="B368" s="74" t="s">
        <v>44</v>
      </c>
      <c r="C368" s="11">
        <f>SUM(C363:C367)</f>
        <v>0</v>
      </c>
      <c r="D368" s="74"/>
      <c r="E368" s="11">
        <f>SUM(E363:E367)</f>
        <v>0</v>
      </c>
      <c r="F368" s="74"/>
      <c r="G368" s="11">
        <f>SUM(G363:G367)</f>
        <v>0</v>
      </c>
      <c r="H368" s="74"/>
      <c r="I368" s="11">
        <f>SUM(I363:I367)</f>
        <v>0</v>
      </c>
      <c r="J368" s="74"/>
      <c r="K368" s="11">
        <f ca="1">SUM(K363:K367)</f>
        <v>99.311475409836063</v>
      </c>
      <c r="L368" s="74"/>
      <c r="M368" s="11">
        <f ca="1">SUM(M363:M367)</f>
        <v>99.311475409836063</v>
      </c>
      <c r="N368" s="74"/>
      <c r="O368" s="12">
        <f ca="1">SUM(O363:O367)</f>
        <v>99.311475409836063</v>
      </c>
      <c r="P368" s="75">
        <f ca="1">SUMIF(B361:N361,"&lt;8",C368:O368)</f>
        <v>297.93442622950818</v>
      </c>
    </row>
    <row r="369" spans="2:16" x14ac:dyDescent="0.2">
      <c r="B369" s="76"/>
      <c r="C369" s="77"/>
      <c r="D369" s="77"/>
      <c r="E369" s="77"/>
      <c r="F369" s="77"/>
      <c r="G369" s="77"/>
      <c r="H369" s="77"/>
      <c r="I369" s="77"/>
      <c r="J369" s="77"/>
      <c r="K369" s="77"/>
      <c r="L369" s="77"/>
      <c r="M369" s="77"/>
      <c r="N369" s="77"/>
      <c r="O369" s="77"/>
      <c r="P369" s="76"/>
    </row>
    <row r="370" spans="2:16" ht="12.75" x14ac:dyDescent="0.25">
      <c r="B370" s="78">
        <f>N361+1</f>
        <v>8</v>
      </c>
      <c r="C370" s="79"/>
      <c r="D370" s="78">
        <f>B370+1</f>
        <v>9</v>
      </c>
      <c r="E370" s="79"/>
      <c r="F370" s="78">
        <f>D370+1</f>
        <v>10</v>
      </c>
      <c r="G370" s="79"/>
      <c r="H370" s="78">
        <f>F370+1</f>
        <v>11</v>
      </c>
      <c r="I370" s="79"/>
      <c r="J370" s="78">
        <f>H370+1</f>
        <v>12</v>
      </c>
      <c r="K370" s="79"/>
      <c r="L370" s="78">
        <f>J370+1</f>
        <v>13</v>
      </c>
      <c r="M370" s="79"/>
      <c r="N370" s="78">
        <f>L370+1</f>
        <v>14</v>
      </c>
      <c r="O370" s="79"/>
      <c r="P370" s="80"/>
    </row>
    <row r="371" spans="2:16" x14ac:dyDescent="0.25">
      <c r="B371" s="64" t="s">
        <v>42</v>
      </c>
      <c r="C371" s="81" t="s">
        <v>43</v>
      </c>
      <c r="D371" s="64" t="s">
        <v>42</v>
      </c>
      <c r="E371" s="81" t="s">
        <v>43</v>
      </c>
      <c r="F371" s="64" t="s">
        <v>42</v>
      </c>
      <c r="G371" s="81" t="s">
        <v>43</v>
      </c>
      <c r="H371" s="64" t="s">
        <v>42</v>
      </c>
      <c r="I371" s="81" t="s">
        <v>43</v>
      </c>
      <c r="J371" s="64" t="s">
        <v>42</v>
      </c>
      <c r="K371" s="81" t="s">
        <v>43</v>
      </c>
      <c r="L371" s="64" t="s">
        <v>42</v>
      </c>
      <c r="M371" s="81" t="s">
        <v>43</v>
      </c>
      <c r="N371" s="64" t="s">
        <v>42</v>
      </c>
      <c r="O371" s="82" t="s">
        <v>43</v>
      </c>
      <c r="P371" s="66"/>
    </row>
    <row r="372" spans="2:16" x14ac:dyDescent="0.25">
      <c r="B372" s="136" t="str">
        <f>IF(Tilmeldingsoversigt!$C$7="x",Morgenmad," ")</f>
        <v>Morgenmad</v>
      </c>
      <c r="C372" s="67">
        <f ca="1">IF(B372=Morgenmad,Tilmeldingsoversigt!$C$15," ")</f>
        <v>16.754098360655739</v>
      </c>
      <c r="D372" s="136" t="str">
        <f>IF(Tilmeldingsoversigt!$D$7="x",Morgenmad," ")</f>
        <v>Morgenmad</v>
      </c>
      <c r="E372" s="67">
        <f ca="1">IF(D372=Morgenmad,Tilmeldingsoversigt!$C$15," ")</f>
        <v>16.754098360655739</v>
      </c>
      <c r="F372" s="136" t="str">
        <f>IF(Tilmeldingsoversigt!$E$7="x",Morgenmad," ")</f>
        <v>Morgenmad</v>
      </c>
      <c r="G372" s="67">
        <f ca="1">IF(F372=Morgenmad,Tilmeldingsoversigt!$C$15," ")</f>
        <v>16.754098360655739</v>
      </c>
      <c r="H372" s="136" t="str">
        <f>IF(Tilmeldingsoversigt!$F$7="x",Morgenmad," ")</f>
        <v>Morgenmad</v>
      </c>
      <c r="I372" s="67">
        <f ca="1">IF(H372=Morgenmad,Tilmeldingsoversigt!$C$15," ")</f>
        <v>16.754098360655739</v>
      </c>
      <c r="J372" s="136" t="str">
        <f>IF(Tilmeldingsoversigt!$G$7="x",Morgenmad," ")</f>
        <v>Morgenmad</v>
      </c>
      <c r="K372" s="67">
        <f ca="1">IF(J372=Morgenmad,Tilmeldingsoversigt!$C$15," ")</f>
        <v>16.754098360655739</v>
      </c>
      <c r="L372" s="136" t="str">
        <f>IF(Tilmeldingsoversigt!$H$7="x",Morgenmad," ")</f>
        <v>Morgenmad</v>
      </c>
      <c r="M372" s="67">
        <f ca="1">IF(L372=Morgenmad,Tilmeldingsoversigt!$C$15," ")</f>
        <v>16.754098360655739</v>
      </c>
      <c r="N372" s="136" t="str">
        <f>IF(Tilmeldingsoversigt!$I$7="x",Morgenmad," ")</f>
        <v>Morgenmad</v>
      </c>
      <c r="O372" s="83">
        <f ca="1">IF(N372=Morgenmad,Tilmeldingsoversigt!$C$15," ")</f>
        <v>16.754098360655739</v>
      </c>
      <c r="P372" s="66"/>
    </row>
    <row r="373" spans="2:16" x14ac:dyDescent="0.25">
      <c r="B373" s="68" t="str">
        <f>IF(Tilmeldingsoversigt!$C$8="x",hovedret," ")</f>
        <v>Hovedret</v>
      </c>
      <c r="C373" s="69">
        <f ca="1">IF(B373=hovedret,Tilmeldingsoversigt!$C$16," ")</f>
        <v>55.016393442622949</v>
      </c>
      <c r="D373" s="68" t="str">
        <f>IF(Tilmeldingsoversigt!$D$8="x",hovedret," ")</f>
        <v>Hovedret</v>
      </c>
      <c r="E373" s="69">
        <f ca="1">IF(D373=hovedret,Tilmeldingsoversigt!$C$16," ")</f>
        <v>55.016393442622949</v>
      </c>
      <c r="F373" s="68" t="str">
        <f>IF(Tilmeldingsoversigt!$E$8="x",hovedret," ")</f>
        <v>Hovedret</v>
      </c>
      <c r="G373" s="69">
        <f ca="1">IF(F373=hovedret,Tilmeldingsoversigt!$C$16," ")</f>
        <v>55.016393442622949</v>
      </c>
      <c r="H373" s="68" t="str">
        <f>IF(Tilmeldingsoversigt!$F$8="x",hovedret," ")</f>
        <v>Hovedret</v>
      </c>
      <c r="I373" s="69">
        <f ca="1">IF(H373=hovedret,Tilmeldingsoversigt!$C$16," ")</f>
        <v>55.016393442622949</v>
      </c>
      <c r="J373" s="68" t="str">
        <f>IF(Tilmeldingsoversigt!$G$8="x",hovedret," ")</f>
        <v>Hovedret</v>
      </c>
      <c r="K373" s="69">
        <f ca="1">IF(J373=hovedret,Tilmeldingsoversigt!$C$16," ")</f>
        <v>55.016393442622949</v>
      </c>
      <c r="L373" s="68" t="str">
        <f>IF(Tilmeldingsoversigt!$H$8="x",hovedret," ")</f>
        <v>Hovedret</v>
      </c>
      <c r="M373" s="69">
        <f ca="1">IF(L373=hovedret,Tilmeldingsoversigt!$C$16," ")</f>
        <v>55.016393442622949</v>
      </c>
      <c r="N373" s="68" t="str">
        <f>IF(Tilmeldingsoversigt!$I$8="x",hovedret," ")</f>
        <v>Hovedret</v>
      </c>
      <c r="O373" s="70">
        <f ca="1">IF(N373=hovedret,Tilmeldingsoversigt!$C$16," ")</f>
        <v>55.016393442622949</v>
      </c>
      <c r="P373" s="66"/>
    </row>
    <row r="374" spans="2:16" x14ac:dyDescent="0.25">
      <c r="B374" s="68" t="str">
        <f>IF(Tilmeldingsoversigt!$C$9="x",Aftensmad," ")</f>
        <v>Aftensmad</v>
      </c>
      <c r="C374" s="69">
        <f ca="1">IF(B374=Aftensmad,Tilmeldingsoversigt!$C$17," ")</f>
        <v>27.540983606557376</v>
      </c>
      <c r="D374" s="68" t="str">
        <f>IF(Tilmeldingsoversigt!$D$9="x",Aftensmad," ")</f>
        <v>Aftensmad</v>
      </c>
      <c r="E374" s="69">
        <f ca="1">IF(D374=Aftensmad,Tilmeldingsoversigt!$C$17," ")</f>
        <v>27.540983606557376</v>
      </c>
      <c r="F374" s="68" t="str">
        <f>IF(Tilmeldingsoversigt!$E$9="x",Aftensmad," ")</f>
        <v>Aftensmad</v>
      </c>
      <c r="G374" s="69">
        <f ca="1">IF(F374=Aftensmad,Tilmeldingsoversigt!$C$17," ")</f>
        <v>27.540983606557376</v>
      </c>
      <c r="H374" s="68" t="str">
        <f>IF(Tilmeldingsoversigt!$F$9="x",Aftensmad," ")</f>
        <v>Aftensmad</v>
      </c>
      <c r="I374" s="69">
        <f ca="1">IF(H374=Aftensmad,Tilmeldingsoversigt!$C$17," ")</f>
        <v>27.540983606557376</v>
      </c>
      <c r="J374" s="68" t="str">
        <f>IF(Tilmeldingsoversigt!$G$9="x",Aftensmad," ")</f>
        <v>Aftensmad</v>
      </c>
      <c r="K374" s="69">
        <f ca="1">IF(J374=Aftensmad,Tilmeldingsoversigt!$C$17," ")</f>
        <v>27.540983606557376</v>
      </c>
      <c r="L374" s="68" t="str">
        <f>IF(Tilmeldingsoversigt!$H$9="x",Aftensmad," ")</f>
        <v>Aftensmad</v>
      </c>
      <c r="M374" s="69">
        <f ca="1">IF(L374=Aftensmad,Tilmeldingsoversigt!$C$17," ")</f>
        <v>27.540983606557376</v>
      </c>
      <c r="N374" s="68" t="str">
        <f>IF(Tilmeldingsoversigt!$I$9="x",Aftensmad," ")</f>
        <v>Aftensmad</v>
      </c>
      <c r="O374" s="70">
        <f ca="1">IF(N374=Aftensmad,Tilmeldingsoversigt!$C$17," ")</f>
        <v>27.540983606557376</v>
      </c>
      <c r="P374" s="66"/>
    </row>
    <row r="375" spans="2:16" x14ac:dyDescent="0.25">
      <c r="B375" s="68" t="str">
        <f>IF(Tilmeldingsoversigt!$C$10="x",biret," ")</f>
        <v>Biret</v>
      </c>
      <c r="C375" s="69">
        <f>IF(B375=biret,biretpris," ")</f>
        <v>0</v>
      </c>
      <c r="D375" s="68" t="str">
        <f>IF(Tilmeldingsoversigt!$D$10="x",biret," ")</f>
        <v>Biret</v>
      </c>
      <c r="E375" s="69">
        <f>IF(D375=biret,biretpris," ")</f>
        <v>0</v>
      </c>
      <c r="F375" s="68" t="str">
        <f>IF(Tilmeldingsoversigt!$E$10="x",biret," ")</f>
        <v>Biret</v>
      </c>
      <c r="G375" s="69">
        <f>IF(F375=biret,biretpris," ")</f>
        <v>0</v>
      </c>
      <c r="H375" s="68" t="str">
        <f>IF(Tilmeldingsoversigt!$F$10="x",biret," ")</f>
        <v>Biret</v>
      </c>
      <c r="I375" s="69">
        <f>IF(H375=biret,biretpris," ")</f>
        <v>0</v>
      </c>
      <c r="J375" s="68" t="str">
        <f>IF(Tilmeldingsoversigt!$G$10="x",biret," ")</f>
        <v>Biret</v>
      </c>
      <c r="K375" s="69">
        <f>IF(J375=biret,biretpris," ")</f>
        <v>0</v>
      </c>
      <c r="L375" s="68" t="str">
        <f>IF(Tilmeldingsoversigt!$H$10="x",biret," ")</f>
        <v>Biret</v>
      </c>
      <c r="M375" s="69">
        <f>IF(L375=biret,biretpris," ")</f>
        <v>0</v>
      </c>
      <c r="N375" s="68" t="str">
        <f>IF(Tilmeldingsoversigt!$I$10="x",biret," ")</f>
        <v>Biret</v>
      </c>
      <c r="O375" s="70">
        <f>IF(N375=biret,biretpris," ")</f>
        <v>0</v>
      </c>
      <c r="P375" s="66"/>
    </row>
    <row r="376" spans="2:16" x14ac:dyDescent="0.25">
      <c r="B376" s="71" t="str">
        <f>IF(Tilmeldingsoversigt!$C$11="x",mellemmåltid," ")</f>
        <v xml:space="preserve"> </v>
      </c>
      <c r="C376" s="72" t="str">
        <f>IF(B376=mellemmåltid,mellemmåltidspris," ")</f>
        <v xml:space="preserve"> </v>
      </c>
      <c r="D376" s="71" t="str">
        <f>IF(Tilmeldingsoversigt!$C$11="x",mellemmåltid," ")</f>
        <v xml:space="preserve"> </v>
      </c>
      <c r="E376" s="72" t="str">
        <f>IF(D376=mellemmåltid,mellemmåltidspris," ")</f>
        <v xml:space="preserve"> </v>
      </c>
      <c r="F376" s="71" t="str">
        <f>IF(Tilmeldingsoversigt!$C$11="x",mellemmåltid," ")</f>
        <v xml:space="preserve"> </v>
      </c>
      <c r="G376" s="72" t="str">
        <f>IF(F376=mellemmåltid,mellemmåltidspris," ")</f>
        <v xml:space="preserve"> </v>
      </c>
      <c r="H376" s="71" t="str">
        <f>IF(Tilmeldingsoversigt!$C$11="x",mellemmåltid," ")</f>
        <v xml:space="preserve"> </v>
      </c>
      <c r="I376" s="72" t="str">
        <f>IF(H376=mellemmåltid,mellemmåltidspris," ")</f>
        <v xml:space="preserve"> </v>
      </c>
      <c r="J376" s="71" t="str">
        <f>IF(Tilmeldingsoversigt!$C$11="x",mellemmåltid," ")</f>
        <v xml:space="preserve"> </v>
      </c>
      <c r="K376" s="72" t="str">
        <f>IF(J376=mellemmåltid,mellemmåltidspris," ")</f>
        <v xml:space="preserve"> </v>
      </c>
      <c r="L376" s="71" t="str">
        <f>IF(Tilmeldingsoversigt!$C$11="x",mellemmåltid," ")</f>
        <v xml:space="preserve"> </v>
      </c>
      <c r="M376" s="72" t="str">
        <f>IF(L376=mellemmåltid,mellemmåltidspris," ")</f>
        <v xml:space="preserve"> </v>
      </c>
      <c r="N376" s="71" t="str">
        <f>IF(Tilmeldingsoversigt!$C$11="x",mellemmåltid," ")</f>
        <v xml:space="preserve"> </v>
      </c>
      <c r="O376" s="73" t="str">
        <f>IF(N376=mellemmåltid,mellemmåltidspris," ")</f>
        <v xml:space="preserve"> </v>
      </c>
      <c r="P376" s="66"/>
    </row>
    <row r="377" spans="2:16" x14ac:dyDescent="0.25">
      <c r="B377" s="74" t="s">
        <v>44</v>
      </c>
      <c r="C377" s="11">
        <f ca="1">SUM(C372:C376)</f>
        <v>99.311475409836063</v>
      </c>
      <c r="D377" s="74"/>
      <c r="E377" s="11">
        <f ca="1">SUM(E372:E376)</f>
        <v>99.311475409836063</v>
      </c>
      <c r="F377" s="74"/>
      <c r="G377" s="11">
        <f ca="1">SUM(G372:G376)</f>
        <v>99.311475409836063</v>
      </c>
      <c r="H377" s="74"/>
      <c r="I377" s="11">
        <f ca="1">SUM(I372:I376)</f>
        <v>99.311475409836063</v>
      </c>
      <c r="J377" s="74"/>
      <c r="K377" s="11">
        <f ca="1">SUM(K372:K376)</f>
        <v>99.311475409836063</v>
      </c>
      <c r="L377" s="74"/>
      <c r="M377" s="11">
        <f ca="1">SUM(M372:M376)</f>
        <v>99.311475409836063</v>
      </c>
      <c r="N377" s="74"/>
      <c r="O377" s="12">
        <f ca="1">SUM(O372:O376)</f>
        <v>99.311475409836063</v>
      </c>
      <c r="P377" s="75">
        <f ca="1">SUM(C377,E377,G377,I377,K377,M377,O377)</f>
        <v>695.18032786885237</v>
      </c>
    </row>
    <row r="378" spans="2:16" x14ac:dyDescent="0.2">
      <c r="B378" s="76"/>
      <c r="C378" s="77"/>
      <c r="D378" s="77"/>
      <c r="E378" s="77"/>
      <c r="F378" s="77"/>
      <c r="G378" s="77"/>
      <c r="H378" s="77"/>
      <c r="I378" s="77"/>
      <c r="J378" s="77"/>
      <c r="K378" s="77"/>
      <c r="L378" s="77"/>
      <c r="M378" s="77"/>
      <c r="N378" s="77"/>
      <c r="O378" s="77"/>
      <c r="P378" s="76"/>
    </row>
    <row r="379" spans="2:16" ht="12.75" x14ac:dyDescent="0.25">
      <c r="B379" s="78">
        <f>N370+1</f>
        <v>15</v>
      </c>
      <c r="C379" s="79"/>
      <c r="D379" s="78">
        <f>B379+1</f>
        <v>16</v>
      </c>
      <c r="E379" s="79"/>
      <c r="F379" s="78">
        <f>D379+1</f>
        <v>17</v>
      </c>
      <c r="G379" s="79"/>
      <c r="H379" s="78">
        <f>F379+1</f>
        <v>18</v>
      </c>
      <c r="I379" s="79"/>
      <c r="J379" s="78">
        <f>H379+1</f>
        <v>19</v>
      </c>
      <c r="K379" s="79"/>
      <c r="L379" s="78">
        <f>J379+1</f>
        <v>20</v>
      </c>
      <c r="M379" s="79"/>
      <c r="N379" s="78">
        <f>L379+1</f>
        <v>21</v>
      </c>
      <c r="O379" s="79"/>
      <c r="P379" s="80"/>
    </row>
    <row r="380" spans="2:16" x14ac:dyDescent="0.25">
      <c r="B380" s="64" t="s">
        <v>42</v>
      </c>
      <c r="C380" s="81" t="s">
        <v>43</v>
      </c>
      <c r="D380" s="64" t="s">
        <v>42</v>
      </c>
      <c r="E380" s="81" t="s">
        <v>43</v>
      </c>
      <c r="F380" s="64" t="s">
        <v>42</v>
      </c>
      <c r="G380" s="81" t="s">
        <v>43</v>
      </c>
      <c r="H380" s="64" t="s">
        <v>42</v>
      </c>
      <c r="I380" s="81" t="s">
        <v>43</v>
      </c>
      <c r="J380" s="64" t="s">
        <v>42</v>
      </c>
      <c r="K380" s="81" t="s">
        <v>43</v>
      </c>
      <c r="L380" s="64" t="s">
        <v>42</v>
      </c>
      <c r="M380" s="81" t="s">
        <v>43</v>
      </c>
      <c r="N380" s="64" t="s">
        <v>42</v>
      </c>
      <c r="O380" s="82" t="s">
        <v>43</v>
      </c>
      <c r="P380" s="66"/>
    </row>
    <row r="381" spans="2:16" x14ac:dyDescent="0.25">
      <c r="B381" s="136" t="str">
        <f>IF(Tilmeldingsoversigt!$C$7="x",Morgenmad," ")</f>
        <v>Morgenmad</v>
      </c>
      <c r="C381" s="67">
        <f ca="1">IF(B381=Morgenmad,Tilmeldingsoversigt!$C$15," ")</f>
        <v>16.754098360655739</v>
      </c>
      <c r="D381" s="136" t="str">
        <f>IF(Tilmeldingsoversigt!$D$7="x",Morgenmad," ")</f>
        <v>Morgenmad</v>
      </c>
      <c r="E381" s="67">
        <f ca="1">IF(D381=Morgenmad,Tilmeldingsoversigt!$C$15," ")</f>
        <v>16.754098360655739</v>
      </c>
      <c r="F381" s="136" t="str">
        <f>IF(Tilmeldingsoversigt!$E$7="x",Morgenmad," ")</f>
        <v>Morgenmad</v>
      </c>
      <c r="G381" s="67">
        <f ca="1">IF(F381=Morgenmad,Tilmeldingsoversigt!$C$15," ")</f>
        <v>16.754098360655739</v>
      </c>
      <c r="H381" s="136" t="str">
        <f>IF(Tilmeldingsoversigt!$F$7="x",Morgenmad," ")</f>
        <v>Morgenmad</v>
      </c>
      <c r="I381" s="67">
        <f ca="1">IF(H381=Morgenmad,Tilmeldingsoversigt!$C$15," ")</f>
        <v>16.754098360655739</v>
      </c>
      <c r="J381" s="136" t="str">
        <f>IF(Tilmeldingsoversigt!$G$7="x",Morgenmad," ")</f>
        <v>Morgenmad</v>
      </c>
      <c r="K381" s="67">
        <f ca="1">IF(J381=Morgenmad,Tilmeldingsoversigt!$C$15," ")</f>
        <v>16.754098360655739</v>
      </c>
      <c r="L381" s="136" t="str">
        <f>IF(Tilmeldingsoversigt!$H$7="x",Morgenmad," ")</f>
        <v>Morgenmad</v>
      </c>
      <c r="M381" s="67">
        <f ca="1">IF(L381=Morgenmad,Tilmeldingsoversigt!$C$15," ")</f>
        <v>16.754098360655739</v>
      </c>
      <c r="N381" s="136" t="str">
        <f>IF(Tilmeldingsoversigt!$I$7="x",Morgenmad," ")</f>
        <v>Morgenmad</v>
      </c>
      <c r="O381" s="83">
        <f ca="1">IF(N381=Morgenmad,Tilmeldingsoversigt!$C$15," ")</f>
        <v>16.754098360655739</v>
      </c>
      <c r="P381" s="66"/>
    </row>
    <row r="382" spans="2:16" x14ac:dyDescent="0.25">
      <c r="B382" s="68" t="str">
        <f>IF(Tilmeldingsoversigt!$C$8="x",hovedret," ")</f>
        <v>Hovedret</v>
      </c>
      <c r="C382" s="69">
        <f ca="1">IF(B382=hovedret,Tilmeldingsoversigt!$C$16," ")</f>
        <v>55.016393442622949</v>
      </c>
      <c r="D382" s="68" t="str">
        <f>IF(Tilmeldingsoversigt!$D$8="x",hovedret," ")</f>
        <v>Hovedret</v>
      </c>
      <c r="E382" s="69">
        <f ca="1">IF(D382=hovedret,Tilmeldingsoversigt!$C$16," ")</f>
        <v>55.016393442622949</v>
      </c>
      <c r="F382" s="68" t="str">
        <f>IF(Tilmeldingsoversigt!$E$8="x",hovedret," ")</f>
        <v>Hovedret</v>
      </c>
      <c r="G382" s="69">
        <f ca="1">IF(F382=hovedret,Tilmeldingsoversigt!$C$16," ")</f>
        <v>55.016393442622949</v>
      </c>
      <c r="H382" s="68" t="str">
        <f>IF(Tilmeldingsoversigt!$F$8="x",hovedret," ")</f>
        <v>Hovedret</v>
      </c>
      <c r="I382" s="69">
        <f ca="1">IF(H382=hovedret,Tilmeldingsoversigt!$C$16," ")</f>
        <v>55.016393442622949</v>
      </c>
      <c r="J382" s="68" t="str">
        <f>IF(Tilmeldingsoversigt!$G$8="x",hovedret," ")</f>
        <v>Hovedret</v>
      </c>
      <c r="K382" s="69">
        <f ca="1">IF(J382=hovedret,Tilmeldingsoversigt!$C$16," ")</f>
        <v>55.016393442622949</v>
      </c>
      <c r="L382" s="68" t="str">
        <f>IF(Tilmeldingsoversigt!$H$8="x",hovedret," ")</f>
        <v>Hovedret</v>
      </c>
      <c r="M382" s="69">
        <f ca="1">IF(L382=hovedret,Tilmeldingsoversigt!$C$16," ")</f>
        <v>55.016393442622949</v>
      </c>
      <c r="N382" s="68" t="str">
        <f>IF(Tilmeldingsoversigt!$I$8="x",hovedret," ")</f>
        <v>Hovedret</v>
      </c>
      <c r="O382" s="70">
        <f ca="1">IF(N382=hovedret,Tilmeldingsoversigt!$C$16," ")</f>
        <v>55.016393442622949</v>
      </c>
      <c r="P382" s="66"/>
    </row>
    <row r="383" spans="2:16" x14ac:dyDescent="0.25">
      <c r="B383" s="68" t="str">
        <f>IF(Tilmeldingsoversigt!$C$9="x",Aftensmad," ")</f>
        <v>Aftensmad</v>
      </c>
      <c r="C383" s="69">
        <f ca="1">IF(B383=Aftensmad,Tilmeldingsoversigt!$C$17," ")</f>
        <v>27.540983606557376</v>
      </c>
      <c r="D383" s="68" t="str">
        <f>IF(Tilmeldingsoversigt!$D$9="x",Aftensmad," ")</f>
        <v>Aftensmad</v>
      </c>
      <c r="E383" s="69">
        <f ca="1">IF(D383=Aftensmad,Tilmeldingsoversigt!$C$17," ")</f>
        <v>27.540983606557376</v>
      </c>
      <c r="F383" s="68" t="str">
        <f>IF(Tilmeldingsoversigt!$E$9="x",Aftensmad," ")</f>
        <v>Aftensmad</v>
      </c>
      <c r="G383" s="69">
        <f ca="1">IF(F383=Aftensmad,Tilmeldingsoversigt!$C$17," ")</f>
        <v>27.540983606557376</v>
      </c>
      <c r="H383" s="68" t="str">
        <f>IF(Tilmeldingsoversigt!$F$9="x",Aftensmad," ")</f>
        <v>Aftensmad</v>
      </c>
      <c r="I383" s="69">
        <f ca="1">IF(H383=Aftensmad,Tilmeldingsoversigt!$C$17," ")</f>
        <v>27.540983606557376</v>
      </c>
      <c r="J383" s="68" t="str">
        <f>IF(Tilmeldingsoversigt!$G$9="x",Aftensmad," ")</f>
        <v>Aftensmad</v>
      </c>
      <c r="K383" s="69">
        <f ca="1">IF(J383=Aftensmad,Tilmeldingsoversigt!$C$17," ")</f>
        <v>27.540983606557376</v>
      </c>
      <c r="L383" s="68" t="str">
        <f>IF(Tilmeldingsoversigt!$H$9="x",Aftensmad," ")</f>
        <v>Aftensmad</v>
      </c>
      <c r="M383" s="69">
        <f ca="1">IF(L383=Aftensmad,Tilmeldingsoversigt!$C$17," ")</f>
        <v>27.540983606557376</v>
      </c>
      <c r="N383" s="68" t="str">
        <f>IF(Tilmeldingsoversigt!$I$9="x",Aftensmad," ")</f>
        <v>Aftensmad</v>
      </c>
      <c r="O383" s="70">
        <f ca="1">IF(N383=Aftensmad,Tilmeldingsoversigt!$C$17," ")</f>
        <v>27.540983606557376</v>
      </c>
      <c r="P383" s="66"/>
    </row>
    <row r="384" spans="2:16" x14ac:dyDescent="0.25">
      <c r="B384" s="68" t="str">
        <f>IF(Tilmeldingsoversigt!$C$10="x",biret," ")</f>
        <v>Biret</v>
      </c>
      <c r="C384" s="69">
        <f>IF(B384=biret,biretpris," ")</f>
        <v>0</v>
      </c>
      <c r="D384" s="68" t="str">
        <f>IF(Tilmeldingsoversigt!$D$10="x",biret," ")</f>
        <v>Biret</v>
      </c>
      <c r="E384" s="69">
        <f>IF(D384=biret,biretpris," ")</f>
        <v>0</v>
      </c>
      <c r="F384" s="68" t="str">
        <f>IF(Tilmeldingsoversigt!$E$10="x",biret," ")</f>
        <v>Biret</v>
      </c>
      <c r="G384" s="69">
        <f>IF(F384=biret,biretpris," ")</f>
        <v>0</v>
      </c>
      <c r="H384" s="68" t="str">
        <f>IF(Tilmeldingsoversigt!$F$10="x",biret," ")</f>
        <v>Biret</v>
      </c>
      <c r="I384" s="69">
        <f>IF(H384=biret,biretpris," ")</f>
        <v>0</v>
      </c>
      <c r="J384" s="68" t="str">
        <f>IF(Tilmeldingsoversigt!$G$10="x",biret," ")</f>
        <v>Biret</v>
      </c>
      <c r="K384" s="69">
        <f>IF(J384=biret,biretpris," ")</f>
        <v>0</v>
      </c>
      <c r="L384" s="68" t="str">
        <f>IF(Tilmeldingsoversigt!$H$10="x",biret," ")</f>
        <v>Biret</v>
      </c>
      <c r="M384" s="69">
        <f>IF(L384=biret,biretpris," ")</f>
        <v>0</v>
      </c>
      <c r="N384" s="68" t="str">
        <f>IF(Tilmeldingsoversigt!$I$10="x",biret," ")</f>
        <v>Biret</v>
      </c>
      <c r="O384" s="70">
        <f>IF(N384=biret,biretpris," ")</f>
        <v>0</v>
      </c>
      <c r="P384" s="66"/>
    </row>
    <row r="385" spans="2:16" x14ac:dyDescent="0.25">
      <c r="B385" s="71" t="str">
        <f>IF(Tilmeldingsoversigt!$C$11="x",mellemmåltid," ")</f>
        <v xml:space="preserve"> </v>
      </c>
      <c r="C385" s="72" t="str">
        <f>IF(B385=mellemmåltid,mellemmåltidspris," ")</f>
        <v xml:space="preserve"> </v>
      </c>
      <c r="D385" s="71" t="str">
        <f>IF(Tilmeldingsoversigt!$C$11="x",mellemmåltid," ")</f>
        <v xml:space="preserve"> </v>
      </c>
      <c r="E385" s="72" t="str">
        <f>IF(D385=mellemmåltid,mellemmåltidspris," ")</f>
        <v xml:space="preserve"> </v>
      </c>
      <c r="F385" s="71" t="str">
        <f>IF(Tilmeldingsoversigt!$C$11="x",mellemmåltid," ")</f>
        <v xml:space="preserve"> </v>
      </c>
      <c r="G385" s="72" t="str">
        <f>IF(F385=mellemmåltid,mellemmåltidspris," ")</f>
        <v xml:space="preserve"> </v>
      </c>
      <c r="H385" s="71" t="str">
        <f>IF(Tilmeldingsoversigt!$C$11="x",mellemmåltid," ")</f>
        <v xml:space="preserve"> </v>
      </c>
      <c r="I385" s="72" t="str">
        <f>IF(H385=mellemmåltid,mellemmåltidspris," ")</f>
        <v xml:space="preserve"> </v>
      </c>
      <c r="J385" s="71" t="str">
        <f>IF(Tilmeldingsoversigt!$C$11="x",mellemmåltid," ")</f>
        <v xml:space="preserve"> </v>
      </c>
      <c r="K385" s="72" t="str">
        <f>IF(J385=mellemmåltid,mellemmåltidspris," ")</f>
        <v xml:space="preserve"> </v>
      </c>
      <c r="L385" s="71" t="str">
        <f>IF(Tilmeldingsoversigt!$C$11="x",mellemmåltid," ")</f>
        <v xml:space="preserve"> </v>
      </c>
      <c r="M385" s="72" t="str">
        <f>IF(L385=mellemmåltid,mellemmåltidspris," ")</f>
        <v xml:space="preserve"> </v>
      </c>
      <c r="N385" s="71" t="str">
        <f>IF(Tilmeldingsoversigt!$C$11="x",mellemmåltid," ")</f>
        <v xml:space="preserve"> </v>
      </c>
      <c r="O385" s="73" t="str">
        <f>IF(N385=mellemmåltid,mellemmåltidspris," ")</f>
        <v xml:space="preserve"> </v>
      </c>
      <c r="P385" s="66"/>
    </row>
    <row r="386" spans="2:16" x14ac:dyDescent="0.25">
      <c r="B386" s="84" t="s">
        <v>44</v>
      </c>
      <c r="C386" s="11">
        <f ca="1">SUM(C381:C385)</f>
        <v>99.311475409836063</v>
      </c>
      <c r="D386" s="74"/>
      <c r="E386" s="11">
        <f ca="1">SUM(E381:E385)</f>
        <v>99.311475409836063</v>
      </c>
      <c r="F386" s="74"/>
      <c r="G386" s="11">
        <f ca="1">SUM(G381:G385)</f>
        <v>99.311475409836063</v>
      </c>
      <c r="H386" s="74"/>
      <c r="I386" s="11">
        <f ca="1">SUM(I381:I385)</f>
        <v>99.311475409836063</v>
      </c>
      <c r="J386" s="74"/>
      <c r="K386" s="11">
        <f ca="1">SUM(K381:K385)</f>
        <v>99.311475409836063</v>
      </c>
      <c r="L386" s="74"/>
      <c r="M386" s="11">
        <f ca="1">SUM(M381:M385)</f>
        <v>99.311475409836063</v>
      </c>
      <c r="N386" s="74"/>
      <c r="O386" s="12">
        <f ca="1">SUM(O381:O385)</f>
        <v>99.311475409836063</v>
      </c>
      <c r="P386" s="75">
        <f ca="1">SUM(C386,E386,G386,I386,K386,M386,O386)</f>
        <v>695.18032786885237</v>
      </c>
    </row>
    <row r="387" spans="2:16" x14ac:dyDescent="0.2">
      <c r="B387" s="76"/>
      <c r="C387" s="77"/>
      <c r="D387" s="77"/>
      <c r="E387" s="77"/>
      <c r="F387" s="77"/>
      <c r="G387" s="77"/>
      <c r="H387" s="77"/>
      <c r="I387" s="77"/>
      <c r="J387" s="77"/>
      <c r="K387" s="77"/>
      <c r="L387" s="77"/>
      <c r="M387" s="77"/>
      <c r="N387" s="77"/>
      <c r="O387" s="77"/>
      <c r="P387" s="76"/>
    </row>
    <row r="388" spans="2:16" ht="12.75" x14ac:dyDescent="0.25">
      <c r="B388" s="78">
        <f>N379+1</f>
        <v>22</v>
      </c>
      <c r="C388" s="79"/>
      <c r="D388" s="78">
        <f>B388+1</f>
        <v>23</v>
      </c>
      <c r="E388" s="79"/>
      <c r="F388" s="78">
        <f>D388+1</f>
        <v>24</v>
      </c>
      <c r="G388" s="79"/>
      <c r="H388" s="78">
        <f>F388+1</f>
        <v>25</v>
      </c>
      <c r="I388" s="79"/>
      <c r="J388" s="78">
        <f>H388+1</f>
        <v>26</v>
      </c>
      <c r="K388" s="79"/>
      <c r="L388" s="78">
        <f>J388+1</f>
        <v>27</v>
      </c>
      <c r="M388" s="79"/>
      <c r="N388" s="78">
        <f>L388+1</f>
        <v>28</v>
      </c>
      <c r="O388" s="79"/>
      <c r="P388" s="80"/>
    </row>
    <row r="389" spans="2:16" x14ac:dyDescent="0.25">
      <c r="B389" s="64" t="s">
        <v>42</v>
      </c>
      <c r="C389" s="81" t="s">
        <v>43</v>
      </c>
      <c r="D389" s="64" t="s">
        <v>42</v>
      </c>
      <c r="E389" s="81" t="s">
        <v>43</v>
      </c>
      <c r="F389" s="64" t="s">
        <v>42</v>
      </c>
      <c r="G389" s="81" t="s">
        <v>43</v>
      </c>
      <c r="H389" s="64" t="s">
        <v>42</v>
      </c>
      <c r="I389" s="81" t="s">
        <v>43</v>
      </c>
      <c r="J389" s="64" t="s">
        <v>42</v>
      </c>
      <c r="K389" s="81" t="s">
        <v>43</v>
      </c>
      <c r="L389" s="64" t="s">
        <v>42</v>
      </c>
      <c r="M389" s="81" t="s">
        <v>43</v>
      </c>
      <c r="N389" s="64" t="s">
        <v>42</v>
      </c>
      <c r="O389" s="82" t="s">
        <v>43</v>
      </c>
      <c r="P389" s="66"/>
    </row>
    <row r="390" spans="2:16" x14ac:dyDescent="0.25">
      <c r="B390" s="136" t="str">
        <f>IF(Tilmeldingsoversigt!$C$7="x",Morgenmad," ")</f>
        <v>Morgenmad</v>
      </c>
      <c r="C390" s="67">
        <f ca="1">IF(B390=Morgenmad,Tilmeldingsoversigt!$C$15," ")</f>
        <v>16.754098360655739</v>
      </c>
      <c r="D390" s="136" t="str">
        <f>IF(Tilmeldingsoversigt!$D$7="x",Morgenmad," ")</f>
        <v>Morgenmad</v>
      </c>
      <c r="E390" s="67">
        <f ca="1">IF(D390=Morgenmad,Tilmeldingsoversigt!$C$15," ")</f>
        <v>16.754098360655739</v>
      </c>
      <c r="F390" s="136" t="str">
        <f>IF(Tilmeldingsoversigt!$E$7="x",Morgenmad," ")</f>
        <v>Morgenmad</v>
      </c>
      <c r="G390" s="67">
        <f ca="1">IF(F390=Morgenmad,Tilmeldingsoversigt!$C$15," ")</f>
        <v>16.754098360655739</v>
      </c>
      <c r="H390" s="136" t="str">
        <f>IF(Tilmeldingsoversigt!$F$7="x",Morgenmad," ")</f>
        <v>Morgenmad</v>
      </c>
      <c r="I390" s="67">
        <f ca="1">IF(H390=Morgenmad,Tilmeldingsoversigt!$C$15," ")</f>
        <v>16.754098360655739</v>
      </c>
      <c r="J390" s="136" t="str">
        <f>IF(Tilmeldingsoversigt!$G$7="x",Morgenmad," ")</f>
        <v>Morgenmad</v>
      </c>
      <c r="K390" s="67">
        <f ca="1">IF(J390=Morgenmad,Tilmeldingsoversigt!$C$15," ")</f>
        <v>16.754098360655739</v>
      </c>
      <c r="L390" s="136" t="str">
        <f>IF(Tilmeldingsoversigt!$H$7="x",Morgenmad," ")</f>
        <v>Morgenmad</v>
      </c>
      <c r="M390" s="67">
        <f ca="1">IF(L390=Morgenmad,Tilmeldingsoversigt!$C$15," ")</f>
        <v>16.754098360655739</v>
      </c>
      <c r="N390" s="136" t="str">
        <f>IF(Tilmeldingsoversigt!$I$7="x",Morgenmad," ")</f>
        <v>Morgenmad</v>
      </c>
      <c r="O390" s="83">
        <f ca="1">IF(N390=Morgenmad,Tilmeldingsoversigt!$C$15," ")</f>
        <v>16.754098360655739</v>
      </c>
      <c r="P390" s="66"/>
    </row>
    <row r="391" spans="2:16" x14ac:dyDescent="0.25">
      <c r="B391" s="68" t="str">
        <f>IF(Tilmeldingsoversigt!$C$8="x",hovedret," ")</f>
        <v>Hovedret</v>
      </c>
      <c r="C391" s="69">
        <f ca="1">IF(B391=hovedret,Tilmeldingsoversigt!$C$16," ")</f>
        <v>55.016393442622949</v>
      </c>
      <c r="D391" s="68" t="str">
        <f>IF(Tilmeldingsoversigt!$D$8="x",hovedret," ")</f>
        <v>Hovedret</v>
      </c>
      <c r="E391" s="69">
        <f ca="1">IF(D391=hovedret,Tilmeldingsoversigt!$C$16," ")</f>
        <v>55.016393442622949</v>
      </c>
      <c r="F391" s="68" t="str">
        <f>IF(Tilmeldingsoversigt!$E$8="x",hovedret," ")</f>
        <v>Hovedret</v>
      </c>
      <c r="G391" s="69">
        <f ca="1">IF(F391=hovedret,Tilmeldingsoversigt!$C$16," ")</f>
        <v>55.016393442622949</v>
      </c>
      <c r="H391" s="68" t="str">
        <f>IF(Tilmeldingsoversigt!$F$8="x",hovedret," ")</f>
        <v>Hovedret</v>
      </c>
      <c r="I391" s="69">
        <f ca="1">IF(H391=hovedret,Tilmeldingsoversigt!$C$16," ")</f>
        <v>55.016393442622949</v>
      </c>
      <c r="J391" s="68" t="str">
        <f>IF(Tilmeldingsoversigt!$G$8="x",hovedret," ")</f>
        <v>Hovedret</v>
      </c>
      <c r="K391" s="69">
        <f ca="1">IF(J391=hovedret,Tilmeldingsoversigt!$C$16," ")</f>
        <v>55.016393442622949</v>
      </c>
      <c r="L391" s="68" t="str">
        <f>IF(Tilmeldingsoversigt!$H$8="x",hovedret," ")</f>
        <v>Hovedret</v>
      </c>
      <c r="M391" s="69">
        <f ca="1">IF(L391=hovedret,Tilmeldingsoversigt!$C$16," ")</f>
        <v>55.016393442622949</v>
      </c>
      <c r="N391" s="68" t="str">
        <f>IF(Tilmeldingsoversigt!$I$8="x",hovedret," ")</f>
        <v>Hovedret</v>
      </c>
      <c r="O391" s="70">
        <f ca="1">IF(N391=hovedret,Tilmeldingsoversigt!$C$16," ")</f>
        <v>55.016393442622949</v>
      </c>
      <c r="P391" s="66"/>
    </row>
    <row r="392" spans="2:16" x14ac:dyDescent="0.25">
      <c r="B392" s="68" t="str">
        <f>IF(Tilmeldingsoversigt!$C$9="x",Aftensmad," ")</f>
        <v>Aftensmad</v>
      </c>
      <c r="C392" s="69">
        <f ca="1">IF(B392=Aftensmad,Tilmeldingsoversigt!$C$17," ")</f>
        <v>27.540983606557376</v>
      </c>
      <c r="D392" s="68" t="str">
        <f>IF(Tilmeldingsoversigt!$D$9="x",Aftensmad," ")</f>
        <v>Aftensmad</v>
      </c>
      <c r="E392" s="69">
        <f ca="1">IF(D392=Aftensmad,Tilmeldingsoversigt!$C$17," ")</f>
        <v>27.540983606557376</v>
      </c>
      <c r="F392" s="68" t="str">
        <f>IF(Tilmeldingsoversigt!$E$9="x",Aftensmad," ")</f>
        <v>Aftensmad</v>
      </c>
      <c r="G392" s="69">
        <f ca="1">IF(F392=Aftensmad,Tilmeldingsoversigt!$C$17," ")</f>
        <v>27.540983606557376</v>
      </c>
      <c r="H392" s="68" t="str">
        <f>IF(Tilmeldingsoversigt!$F$9="x",Aftensmad," ")</f>
        <v>Aftensmad</v>
      </c>
      <c r="I392" s="69">
        <f ca="1">IF(H392=Aftensmad,Tilmeldingsoversigt!$C$17," ")</f>
        <v>27.540983606557376</v>
      </c>
      <c r="J392" s="68" t="str">
        <f>IF(Tilmeldingsoversigt!$G$9="x",Aftensmad," ")</f>
        <v>Aftensmad</v>
      </c>
      <c r="K392" s="69">
        <f ca="1">IF(J392=Aftensmad,Tilmeldingsoversigt!$C$17," ")</f>
        <v>27.540983606557376</v>
      </c>
      <c r="L392" s="68" t="str">
        <f>IF(Tilmeldingsoversigt!$H$9="x",Aftensmad," ")</f>
        <v>Aftensmad</v>
      </c>
      <c r="M392" s="69">
        <f ca="1">IF(L392=Aftensmad,Tilmeldingsoversigt!$C$17," ")</f>
        <v>27.540983606557376</v>
      </c>
      <c r="N392" s="68" t="str">
        <f>IF(Tilmeldingsoversigt!$I$9="x",Aftensmad," ")</f>
        <v>Aftensmad</v>
      </c>
      <c r="O392" s="70">
        <f ca="1">IF(N392=Aftensmad,Tilmeldingsoversigt!$C$17," ")</f>
        <v>27.540983606557376</v>
      </c>
      <c r="P392" s="66"/>
    </row>
    <row r="393" spans="2:16" x14ac:dyDescent="0.25">
      <c r="B393" s="68" t="str">
        <f>IF(Tilmeldingsoversigt!$C$10="x",biret," ")</f>
        <v>Biret</v>
      </c>
      <c r="C393" s="69">
        <f>IF(B393=biret,biretpris," ")</f>
        <v>0</v>
      </c>
      <c r="D393" s="68" t="str">
        <f>IF(Tilmeldingsoversigt!$D$10="x",biret," ")</f>
        <v>Biret</v>
      </c>
      <c r="E393" s="69">
        <f>IF(D393=biret,biretpris," ")</f>
        <v>0</v>
      </c>
      <c r="F393" s="68" t="str">
        <f>IF(Tilmeldingsoversigt!$E$10="x",biret," ")</f>
        <v>Biret</v>
      </c>
      <c r="G393" s="69">
        <f>IF(F393=biret,biretpris," ")</f>
        <v>0</v>
      </c>
      <c r="H393" s="68" t="str">
        <f>IF(Tilmeldingsoversigt!$F$10="x",biret," ")</f>
        <v>Biret</v>
      </c>
      <c r="I393" s="69">
        <f>IF(H393=biret,biretpris," ")</f>
        <v>0</v>
      </c>
      <c r="J393" s="68" t="str">
        <f>IF(Tilmeldingsoversigt!$G$10="x",biret," ")</f>
        <v>Biret</v>
      </c>
      <c r="K393" s="69">
        <f>IF(J393=biret,biretpris," ")</f>
        <v>0</v>
      </c>
      <c r="L393" s="68" t="str">
        <f>IF(Tilmeldingsoversigt!$H$10="x",biret," ")</f>
        <v>Biret</v>
      </c>
      <c r="M393" s="69">
        <f>IF(L393=biret,biretpris," ")</f>
        <v>0</v>
      </c>
      <c r="N393" s="68" t="str">
        <f>IF(Tilmeldingsoversigt!$I$10="x",biret," ")</f>
        <v>Biret</v>
      </c>
      <c r="O393" s="70">
        <f>IF(N393=biret,biretpris," ")</f>
        <v>0</v>
      </c>
      <c r="P393" s="66"/>
    </row>
    <row r="394" spans="2:16" x14ac:dyDescent="0.25">
      <c r="B394" s="71" t="str">
        <f>IF(Tilmeldingsoversigt!$C$11="x",mellemmåltid," ")</f>
        <v xml:space="preserve"> </v>
      </c>
      <c r="C394" s="72" t="str">
        <f>IF(B394=mellemmåltid,mellemmåltidspris," ")</f>
        <v xml:space="preserve"> </v>
      </c>
      <c r="D394" s="71" t="str">
        <f>IF(Tilmeldingsoversigt!$C$11="x",mellemmåltid," ")</f>
        <v xml:space="preserve"> </v>
      </c>
      <c r="E394" s="72" t="str">
        <f>IF(D394=mellemmåltid,mellemmåltidspris," ")</f>
        <v xml:space="preserve"> </v>
      </c>
      <c r="F394" s="71" t="str">
        <f>IF(Tilmeldingsoversigt!$C$11="x",mellemmåltid," ")</f>
        <v xml:space="preserve"> </v>
      </c>
      <c r="G394" s="72" t="str">
        <f>IF(F394=mellemmåltid,mellemmåltidspris," ")</f>
        <v xml:space="preserve"> </v>
      </c>
      <c r="H394" s="71" t="str">
        <f>IF(Tilmeldingsoversigt!$C$11="x",mellemmåltid," ")</f>
        <v xml:space="preserve"> </v>
      </c>
      <c r="I394" s="72" t="str">
        <f>IF(H394=mellemmåltid,mellemmåltidspris," ")</f>
        <v xml:space="preserve"> </v>
      </c>
      <c r="J394" s="71" t="str">
        <f>IF(Tilmeldingsoversigt!$C$11="x",mellemmåltid," ")</f>
        <v xml:space="preserve"> </v>
      </c>
      <c r="K394" s="72" t="str">
        <f>IF(J394=mellemmåltid,mellemmåltidspris," ")</f>
        <v xml:space="preserve"> </v>
      </c>
      <c r="L394" s="71" t="str">
        <f>IF(Tilmeldingsoversigt!$C$11="x",mellemmåltid," ")</f>
        <v xml:space="preserve"> </v>
      </c>
      <c r="M394" s="72" t="str">
        <f>IF(L394=mellemmåltid,mellemmåltidspris," ")</f>
        <v xml:space="preserve"> </v>
      </c>
      <c r="N394" s="71" t="str">
        <f>IF(Tilmeldingsoversigt!$C$11="x",mellemmåltid," ")</f>
        <v xml:space="preserve"> </v>
      </c>
      <c r="O394" s="73" t="str">
        <f>IF(N394=mellemmåltid,mellemmåltidspris," ")</f>
        <v xml:space="preserve"> </v>
      </c>
      <c r="P394" s="66"/>
    </row>
    <row r="395" spans="2:16" x14ac:dyDescent="0.25">
      <c r="B395" s="74" t="s">
        <v>44</v>
      </c>
      <c r="C395" s="11">
        <f ca="1">SUM(C390:C394)</f>
        <v>99.311475409836063</v>
      </c>
      <c r="D395" s="74"/>
      <c r="E395" s="11">
        <f ca="1">SUM(E390:E394)</f>
        <v>99.311475409836063</v>
      </c>
      <c r="F395" s="74"/>
      <c r="G395" s="11">
        <f ca="1">SUM(G390:G394)</f>
        <v>99.311475409836063</v>
      </c>
      <c r="H395" s="74"/>
      <c r="I395" s="11">
        <f ca="1">SUM(I390:I394)</f>
        <v>99.311475409836063</v>
      </c>
      <c r="J395" s="74"/>
      <c r="K395" s="11">
        <f ca="1">SUM(K390:K394)</f>
        <v>99.311475409836063</v>
      </c>
      <c r="L395" s="74"/>
      <c r="M395" s="11">
        <f ca="1">SUM(M390:M394)</f>
        <v>99.311475409836063</v>
      </c>
      <c r="N395" s="74"/>
      <c r="O395" s="12">
        <f ca="1">SUM(O390:O394)</f>
        <v>99.311475409836063</v>
      </c>
      <c r="P395" s="75">
        <f ca="1">SUM(C395,E395,G395,I395,K395,M395,O395)</f>
        <v>695.18032786885237</v>
      </c>
    </row>
    <row r="396" spans="2:16" x14ac:dyDescent="0.2">
      <c r="B396" s="76"/>
      <c r="C396" s="77"/>
      <c r="D396" s="77"/>
      <c r="E396" s="77"/>
      <c r="F396" s="77"/>
      <c r="G396" s="77"/>
      <c r="H396" s="77"/>
      <c r="I396" s="77"/>
      <c r="J396" s="77"/>
      <c r="K396" s="77"/>
      <c r="L396" s="77"/>
      <c r="M396" s="77"/>
      <c r="N396" s="77"/>
      <c r="O396" s="77"/>
      <c r="P396" s="76"/>
    </row>
    <row r="397" spans="2:16" ht="12.75" x14ac:dyDescent="0.25">
      <c r="B397" s="78">
        <f>DAY(IF(DAY(JulSøn1)=1,JulSøn1+22,JulSøn1+29))</f>
        <v>29</v>
      </c>
      <c r="C397" s="79"/>
      <c r="D397" s="78">
        <f>DAY(IF(DAY(JulSøn1)=1,JulSøn1+23,JulSøn1+30))</f>
        <v>30</v>
      </c>
      <c r="E397" s="79"/>
      <c r="F397" s="78">
        <f>DAY(IF(DAY(JulSøn1)=1,JulSøn1+24,JulSøn1+31))</f>
        <v>31</v>
      </c>
      <c r="G397" s="79"/>
      <c r="H397" s="78">
        <f>DAY(IF(DAY(JulSøn1)=1,JulSøn1+25,JulSøn1+32))</f>
        <v>1</v>
      </c>
      <c r="I397" s="79"/>
      <c r="J397" s="78">
        <f>DAY(IF(DAY(JulSøn1)=1,JulSøn1+26,JulSøn1+33))</f>
        <v>2</v>
      </c>
      <c r="K397" s="79"/>
      <c r="L397" s="78">
        <f>DAY(IF(DAY(JulSøn1)=1,JulSøn1+27,JulSøn1+34))</f>
        <v>3</v>
      </c>
      <c r="M397" s="79"/>
      <c r="N397" s="78">
        <f>DAY(IF(DAY(JulSøn1)=1,JulSøn1+28,JulSøn1+35))</f>
        <v>4</v>
      </c>
      <c r="O397" s="79"/>
      <c r="P397" s="85"/>
    </row>
    <row r="398" spans="2:16" x14ac:dyDescent="0.25">
      <c r="B398" s="64" t="s">
        <v>42</v>
      </c>
      <c r="C398" s="81" t="s">
        <v>43</v>
      </c>
      <c r="D398" s="64" t="s">
        <v>42</v>
      </c>
      <c r="E398" s="81" t="s">
        <v>43</v>
      </c>
      <c r="F398" s="64" t="s">
        <v>42</v>
      </c>
      <c r="G398" s="81" t="s">
        <v>43</v>
      </c>
      <c r="H398" s="64" t="s">
        <v>42</v>
      </c>
      <c r="I398" s="81" t="s">
        <v>43</v>
      </c>
      <c r="J398" s="64" t="s">
        <v>42</v>
      </c>
      <c r="K398" s="81" t="s">
        <v>43</v>
      </c>
      <c r="L398" s="64" t="s">
        <v>42</v>
      </c>
      <c r="M398" s="81" t="s">
        <v>43</v>
      </c>
      <c r="N398" s="64" t="s">
        <v>42</v>
      </c>
      <c r="O398" s="82" t="s">
        <v>43</v>
      </c>
      <c r="P398" s="66"/>
    </row>
    <row r="399" spans="2:16" x14ac:dyDescent="0.25">
      <c r="B399" s="136" t="str">
        <f>IF(Tilmeldingsoversigt!$C$7="x",Morgenmad," ")</f>
        <v>Morgenmad</v>
      </c>
      <c r="C399" s="67">
        <f ca="1">IF(B399=Morgenmad,Tilmeldingsoversigt!$C$15," ")</f>
        <v>16.754098360655739</v>
      </c>
      <c r="D399" s="136" t="str">
        <f>IF(Tilmeldingsoversigt!$D$7="x",Morgenmad," ")</f>
        <v>Morgenmad</v>
      </c>
      <c r="E399" s="67">
        <f ca="1">IF(D399=Morgenmad,Tilmeldingsoversigt!$C$15," ")</f>
        <v>16.754098360655739</v>
      </c>
      <c r="F399" s="136" t="str">
        <f>IF(Tilmeldingsoversigt!$E$7="x",Morgenmad," ")</f>
        <v>Morgenmad</v>
      </c>
      <c r="G399" s="67">
        <f ca="1">IF(F399=Morgenmad,Tilmeldingsoversigt!$C$15," ")</f>
        <v>16.754098360655739</v>
      </c>
      <c r="H399" s="136" t="str">
        <f>IF(Tilmeldingsoversigt!$F$7="x",Morgenmad," ")</f>
        <v>Morgenmad</v>
      </c>
      <c r="I399" s="67">
        <f ca="1">IF(H399=Morgenmad,Tilmeldingsoversigt!$C$15," ")</f>
        <v>16.754098360655739</v>
      </c>
      <c r="J399" s="136" t="str">
        <f>IF(Tilmeldingsoversigt!$G$7="x",Morgenmad," ")</f>
        <v>Morgenmad</v>
      </c>
      <c r="K399" s="67">
        <f ca="1">IF(J399=Morgenmad,Tilmeldingsoversigt!$C$15," ")</f>
        <v>16.754098360655739</v>
      </c>
      <c r="L399" s="136" t="str">
        <f>IF(Tilmeldingsoversigt!$H$7="x",Morgenmad," ")</f>
        <v>Morgenmad</v>
      </c>
      <c r="M399" s="67">
        <f ca="1">IF(L399=Morgenmad,Tilmeldingsoversigt!$C$15," ")</f>
        <v>16.754098360655739</v>
      </c>
      <c r="N399" s="136" t="str">
        <f>IF(Tilmeldingsoversigt!$I$7="x",Morgenmad," ")</f>
        <v>Morgenmad</v>
      </c>
      <c r="O399" s="83">
        <f ca="1">IF(N399=Morgenmad,Tilmeldingsoversigt!$C$15," ")</f>
        <v>16.754098360655739</v>
      </c>
      <c r="P399" s="66"/>
    </row>
    <row r="400" spans="2:16" x14ac:dyDescent="0.25">
      <c r="B400" s="68" t="str">
        <f>IF(Tilmeldingsoversigt!$C$8="x",hovedret," ")</f>
        <v>Hovedret</v>
      </c>
      <c r="C400" s="69">
        <f ca="1">IF(B400=hovedret,Tilmeldingsoversigt!$C$16," ")</f>
        <v>55.016393442622949</v>
      </c>
      <c r="D400" s="68" t="str">
        <f>IF(Tilmeldingsoversigt!$D$8="x",hovedret," ")</f>
        <v>Hovedret</v>
      </c>
      <c r="E400" s="69">
        <f ca="1">IF(D400=hovedret,Tilmeldingsoversigt!$C$16," ")</f>
        <v>55.016393442622949</v>
      </c>
      <c r="F400" s="68" t="str">
        <f>IF(Tilmeldingsoversigt!$E$8="x",hovedret," ")</f>
        <v>Hovedret</v>
      </c>
      <c r="G400" s="69">
        <f ca="1">IF(F400=hovedret,Tilmeldingsoversigt!$C$16," ")</f>
        <v>55.016393442622949</v>
      </c>
      <c r="H400" s="68" t="str">
        <f>IF(Tilmeldingsoversigt!$F$8="x",hovedret," ")</f>
        <v>Hovedret</v>
      </c>
      <c r="I400" s="69">
        <f ca="1">IF(H400=hovedret,Tilmeldingsoversigt!$C$16," ")</f>
        <v>55.016393442622949</v>
      </c>
      <c r="J400" s="68" t="str">
        <f>IF(Tilmeldingsoversigt!$G$8="x",hovedret," ")</f>
        <v>Hovedret</v>
      </c>
      <c r="K400" s="69">
        <f ca="1">IF(J400=hovedret,Tilmeldingsoversigt!$C$16," ")</f>
        <v>55.016393442622949</v>
      </c>
      <c r="L400" s="68" t="str">
        <f>IF(Tilmeldingsoversigt!$H$8="x",hovedret," ")</f>
        <v>Hovedret</v>
      </c>
      <c r="M400" s="69">
        <f ca="1">IF(L400=hovedret,Tilmeldingsoversigt!$C$16," ")</f>
        <v>55.016393442622949</v>
      </c>
      <c r="N400" s="68" t="str">
        <f>IF(Tilmeldingsoversigt!$I$8="x",hovedret," ")</f>
        <v>Hovedret</v>
      </c>
      <c r="O400" s="70">
        <f ca="1">IF(N400=hovedret,Tilmeldingsoversigt!$C$16," ")</f>
        <v>55.016393442622949</v>
      </c>
      <c r="P400" s="66"/>
    </row>
    <row r="401" spans="2:16" x14ac:dyDescent="0.25">
      <c r="B401" s="68" t="str">
        <f>IF(Tilmeldingsoversigt!$C$9="x",Aftensmad," ")</f>
        <v>Aftensmad</v>
      </c>
      <c r="C401" s="69">
        <f ca="1">IF(B401=Aftensmad,Tilmeldingsoversigt!$C$17," ")</f>
        <v>27.540983606557376</v>
      </c>
      <c r="D401" s="68" t="str">
        <f>IF(Tilmeldingsoversigt!$D$9="x",Aftensmad," ")</f>
        <v>Aftensmad</v>
      </c>
      <c r="E401" s="69">
        <f ca="1">IF(D401=Aftensmad,Tilmeldingsoversigt!$C$17," ")</f>
        <v>27.540983606557376</v>
      </c>
      <c r="F401" s="68" t="str">
        <f>IF(Tilmeldingsoversigt!$E$9="x",Aftensmad," ")</f>
        <v>Aftensmad</v>
      </c>
      <c r="G401" s="69">
        <f ca="1">IF(F401=Aftensmad,Tilmeldingsoversigt!$C$17," ")</f>
        <v>27.540983606557376</v>
      </c>
      <c r="H401" s="68" t="str">
        <f>IF(Tilmeldingsoversigt!$F$9="x",Aftensmad," ")</f>
        <v>Aftensmad</v>
      </c>
      <c r="I401" s="69">
        <f ca="1">IF(H401=Aftensmad,Tilmeldingsoversigt!$C$17," ")</f>
        <v>27.540983606557376</v>
      </c>
      <c r="J401" s="68" t="str">
        <f>IF(Tilmeldingsoversigt!$G$9="x",Aftensmad," ")</f>
        <v>Aftensmad</v>
      </c>
      <c r="K401" s="69">
        <f ca="1">IF(J401=Aftensmad,Tilmeldingsoversigt!$C$17," ")</f>
        <v>27.540983606557376</v>
      </c>
      <c r="L401" s="68" t="str">
        <f>IF(Tilmeldingsoversigt!$H$9="x",Aftensmad," ")</f>
        <v>Aftensmad</v>
      </c>
      <c r="M401" s="69">
        <f ca="1">IF(L401=Aftensmad,Tilmeldingsoversigt!$C$17," ")</f>
        <v>27.540983606557376</v>
      </c>
      <c r="N401" s="68" t="str">
        <f>IF(Tilmeldingsoversigt!$I$9="x",Aftensmad," ")</f>
        <v>Aftensmad</v>
      </c>
      <c r="O401" s="70">
        <f ca="1">IF(N401=Aftensmad,Tilmeldingsoversigt!$C$17," ")</f>
        <v>27.540983606557376</v>
      </c>
      <c r="P401" s="66"/>
    </row>
    <row r="402" spans="2:16" x14ac:dyDescent="0.25">
      <c r="B402" s="68" t="str">
        <f>IF(Tilmeldingsoversigt!$C$10="x",biret," ")</f>
        <v>Biret</v>
      </c>
      <c r="C402" s="69">
        <f>IF(B402=biret,biretpris," ")</f>
        <v>0</v>
      </c>
      <c r="D402" s="68" t="str">
        <f>IF(Tilmeldingsoversigt!$D$10="x",biret," ")</f>
        <v>Biret</v>
      </c>
      <c r="E402" s="69">
        <f>IF(D402=biret,biretpris," ")</f>
        <v>0</v>
      </c>
      <c r="F402" s="68" t="str">
        <f>IF(Tilmeldingsoversigt!$E$10="x",biret," ")</f>
        <v>Biret</v>
      </c>
      <c r="G402" s="69">
        <f>IF(F402=biret,biretpris," ")</f>
        <v>0</v>
      </c>
      <c r="H402" s="68" t="str">
        <f>IF(Tilmeldingsoversigt!$F$10="x",biret," ")</f>
        <v>Biret</v>
      </c>
      <c r="I402" s="69">
        <f>IF(H402=biret,biretpris," ")</f>
        <v>0</v>
      </c>
      <c r="J402" s="68" t="str">
        <f>IF(Tilmeldingsoversigt!$G$10="x",biret," ")</f>
        <v>Biret</v>
      </c>
      <c r="K402" s="69">
        <f>IF(J402=biret,biretpris," ")</f>
        <v>0</v>
      </c>
      <c r="L402" s="68" t="str">
        <f>IF(Tilmeldingsoversigt!$H$10="x",biret," ")</f>
        <v>Biret</v>
      </c>
      <c r="M402" s="69">
        <f>IF(L402=biret,biretpris," ")</f>
        <v>0</v>
      </c>
      <c r="N402" s="68" t="str">
        <f>IF(Tilmeldingsoversigt!$I$10="x",biret," ")</f>
        <v>Biret</v>
      </c>
      <c r="O402" s="70">
        <f>IF(N402=biret,biretpris," ")</f>
        <v>0</v>
      </c>
      <c r="P402" s="66"/>
    </row>
    <row r="403" spans="2:16" x14ac:dyDescent="0.25">
      <c r="B403" s="71" t="str">
        <f>IF(Tilmeldingsoversigt!$C$11="x",mellemmåltid," ")</f>
        <v xml:space="preserve"> </v>
      </c>
      <c r="C403" s="72" t="str">
        <f>IF(B403=mellemmåltid,mellemmåltidspris," ")</f>
        <v xml:space="preserve"> </v>
      </c>
      <c r="D403" s="71" t="str">
        <f>IF(Tilmeldingsoversigt!$C$11="x",mellemmåltid," ")</f>
        <v xml:space="preserve"> </v>
      </c>
      <c r="E403" s="72" t="str">
        <f>IF(D403=mellemmåltid,mellemmåltidspris," ")</f>
        <v xml:space="preserve"> </v>
      </c>
      <c r="F403" s="71" t="str">
        <f>IF(Tilmeldingsoversigt!$C$11="x",mellemmåltid," ")</f>
        <v xml:space="preserve"> </v>
      </c>
      <c r="G403" s="72" t="str">
        <f>IF(F403=mellemmåltid,mellemmåltidspris," ")</f>
        <v xml:space="preserve"> </v>
      </c>
      <c r="H403" s="71" t="str">
        <f>IF(Tilmeldingsoversigt!$C$11="x",mellemmåltid," ")</f>
        <v xml:space="preserve"> </v>
      </c>
      <c r="I403" s="72" t="str">
        <f>IF(H403=mellemmåltid,mellemmåltidspris," ")</f>
        <v xml:space="preserve"> </v>
      </c>
      <c r="J403" s="71" t="str">
        <f>IF(Tilmeldingsoversigt!$C$11="x",mellemmåltid," ")</f>
        <v xml:space="preserve"> </v>
      </c>
      <c r="K403" s="72" t="str">
        <f>IF(J403=mellemmåltid,mellemmåltidspris," ")</f>
        <v xml:space="preserve"> </v>
      </c>
      <c r="L403" s="71" t="str">
        <f>IF(Tilmeldingsoversigt!$C$11="x",mellemmåltid," ")</f>
        <v xml:space="preserve"> </v>
      </c>
      <c r="M403" s="72" t="str">
        <f>IF(L403=mellemmåltid,mellemmåltidspris," ")</f>
        <v xml:space="preserve"> </v>
      </c>
      <c r="N403" s="71" t="str">
        <f>IF(Tilmeldingsoversigt!$C$11="x",mellemmåltid," ")</f>
        <v xml:space="preserve"> </v>
      </c>
      <c r="O403" s="73" t="str">
        <f>IF(N403=mellemmåltid,mellemmåltidspris," ")</f>
        <v xml:space="preserve"> </v>
      </c>
      <c r="P403" s="66"/>
    </row>
    <row r="404" spans="2:16" x14ac:dyDescent="0.25">
      <c r="B404" s="74" t="s">
        <v>44</v>
      </c>
      <c r="C404" s="11">
        <f ca="1">SUM(C399:C403)</f>
        <v>99.311475409836063</v>
      </c>
      <c r="D404" s="74"/>
      <c r="E404" s="11">
        <f ca="1">SUM(E399:E403)</f>
        <v>99.311475409836063</v>
      </c>
      <c r="F404" s="74"/>
      <c r="G404" s="11">
        <f ca="1">SUM(G399:G403)</f>
        <v>99.311475409836063</v>
      </c>
      <c r="H404" s="74"/>
      <c r="I404" s="11">
        <f ca="1">SUM(I399:I403)</f>
        <v>99.311475409836063</v>
      </c>
      <c r="J404" s="74"/>
      <c r="K404" s="11">
        <f ca="1">SUM(K399:K403)</f>
        <v>99.311475409836063</v>
      </c>
      <c r="L404" s="74"/>
      <c r="M404" s="11">
        <f ca="1">SUM(M399:M403)</f>
        <v>99.311475409836063</v>
      </c>
      <c r="N404" s="74"/>
      <c r="O404" s="12">
        <f ca="1">SUM(O399:O403)</f>
        <v>99.311475409836063</v>
      </c>
      <c r="P404" s="75">
        <f ca="1">SUMIF(B397:N397,"&gt;="&amp;15,C404:O404)</f>
        <v>297.93442622950818</v>
      </c>
    </row>
    <row r="405" spans="2:16" x14ac:dyDescent="0.2">
      <c r="B405" s="76"/>
      <c r="C405" s="77"/>
      <c r="D405" s="77"/>
      <c r="E405" s="77"/>
      <c r="F405" s="77"/>
      <c r="G405" s="77"/>
      <c r="H405" s="77"/>
      <c r="I405" s="77"/>
      <c r="J405" s="77"/>
      <c r="K405" s="77"/>
      <c r="L405" s="77"/>
      <c r="M405" s="77"/>
      <c r="N405" s="77"/>
      <c r="O405" s="77"/>
      <c r="P405" s="76"/>
    </row>
    <row r="406" spans="2:16" ht="12.75" hidden="1" x14ac:dyDescent="0.25">
      <c r="B406" s="78">
        <f>DAY(IF(DAY(JulSøn1)=1,JulSøn1+29,JulSøn1+36))</f>
        <v>5</v>
      </c>
      <c r="C406" s="91"/>
      <c r="D406" s="78">
        <f>DAY(IF(DAY(JulSøn1)=1,JulSøn1+30,JulSøn1+37))</f>
        <v>6</v>
      </c>
      <c r="E406" s="79"/>
      <c r="F406" s="92">
        <f>DAY(IF(DAY(JulSøn1)=1,JulSøn1+31,JulSøn1+38))</f>
        <v>7</v>
      </c>
      <c r="G406" s="79"/>
      <c r="H406" s="78">
        <f>DAY(IF(DAY(JulSøn1)=1,JulSøn1+32,JulSøn1+39))</f>
        <v>8</v>
      </c>
      <c r="I406" s="79"/>
      <c r="J406" s="78">
        <f>DAY(IF(DAY(JulSøn1)=1,JulSøn1+33,JulSøn1+40))</f>
        <v>9</v>
      </c>
      <c r="K406" s="79"/>
      <c r="L406" s="78">
        <f>DAY(IF(DAY(JulSøn1)=1,JulSøn1+34,JulSøn1+41))</f>
        <v>10</v>
      </c>
      <c r="M406" s="79"/>
      <c r="N406" s="78">
        <f>DAY(IF(DAY(JulSøn1)=1,JulSøn1+35,JulSøn1+42))</f>
        <v>11</v>
      </c>
      <c r="O406" s="79"/>
      <c r="P406" s="85"/>
    </row>
    <row r="407" spans="2:16" hidden="1" x14ac:dyDescent="0.25">
      <c r="B407" s="64" t="s">
        <v>42</v>
      </c>
      <c r="C407" s="81" t="s">
        <v>43</v>
      </c>
      <c r="D407" s="64" t="s">
        <v>42</v>
      </c>
      <c r="E407" s="81" t="s">
        <v>43</v>
      </c>
      <c r="F407" s="64" t="s">
        <v>42</v>
      </c>
      <c r="G407" s="81" t="s">
        <v>43</v>
      </c>
      <c r="H407" s="64" t="s">
        <v>42</v>
      </c>
      <c r="I407" s="81" t="s">
        <v>43</v>
      </c>
      <c r="J407" s="64" t="s">
        <v>42</v>
      </c>
      <c r="K407" s="81" t="s">
        <v>43</v>
      </c>
      <c r="L407" s="64" t="s">
        <v>42</v>
      </c>
      <c r="M407" s="81" t="s">
        <v>43</v>
      </c>
      <c r="N407" s="64" t="s">
        <v>42</v>
      </c>
      <c r="O407" s="82" t="s">
        <v>43</v>
      </c>
      <c r="P407" s="66"/>
    </row>
    <row r="408" spans="2:16" hidden="1" x14ac:dyDescent="0.25">
      <c r="B408" s="136"/>
      <c r="C408" s="67"/>
      <c r="D408" s="136"/>
      <c r="E408" s="67"/>
      <c r="F408" s="136"/>
      <c r="G408" s="67"/>
      <c r="H408" s="136"/>
      <c r="I408" s="67"/>
      <c r="J408" s="136"/>
      <c r="K408" s="67"/>
      <c r="L408" s="136"/>
      <c r="M408" s="67"/>
      <c r="N408" s="136"/>
      <c r="O408" s="83" t="str">
        <f>IF(N408=Morgenmad,Tilmeldingsoversigt!$C$15," ")</f>
        <v xml:space="preserve"> </v>
      </c>
      <c r="P408" s="66"/>
    </row>
    <row r="409" spans="2:16" hidden="1" x14ac:dyDescent="0.25">
      <c r="B409" s="68"/>
      <c r="C409" s="69"/>
      <c r="D409" s="68"/>
      <c r="E409" s="69"/>
      <c r="F409" s="68"/>
      <c r="G409" s="69"/>
      <c r="H409" s="68"/>
      <c r="I409" s="69"/>
      <c r="J409" s="68"/>
      <c r="K409" s="69"/>
      <c r="L409" s="68"/>
      <c r="M409" s="69"/>
      <c r="N409" s="68"/>
      <c r="O409" s="70" t="str">
        <f>IF(N409=hovedret,Tilmeldingsoversigt!$C$16," ")</f>
        <v xml:space="preserve"> </v>
      </c>
      <c r="P409" s="66"/>
    </row>
    <row r="410" spans="2:16" hidden="1" x14ac:dyDescent="0.25">
      <c r="B410" s="68"/>
      <c r="C410" s="69"/>
      <c r="D410" s="68"/>
      <c r="E410" s="69"/>
      <c r="F410" s="68"/>
      <c r="G410" s="69"/>
      <c r="H410" s="68"/>
      <c r="I410" s="69"/>
      <c r="J410" s="68"/>
      <c r="K410" s="69"/>
      <c r="L410" s="68"/>
      <c r="M410" s="69"/>
      <c r="N410" s="68"/>
      <c r="O410" s="70" t="str">
        <f>IF(N410=Aftensmad,Tilmeldingsoversigt!$C$17," ")</f>
        <v xml:space="preserve"> </v>
      </c>
      <c r="P410" s="66"/>
    </row>
    <row r="411" spans="2:16" hidden="1" x14ac:dyDescent="0.25">
      <c r="B411" s="68"/>
      <c r="C411" s="69"/>
      <c r="D411" s="68"/>
      <c r="E411" s="69"/>
      <c r="F411" s="68"/>
      <c r="G411" s="69"/>
      <c r="H411" s="68"/>
      <c r="I411" s="69"/>
      <c r="J411" s="68"/>
      <c r="K411" s="69"/>
      <c r="L411" s="68"/>
      <c r="M411" s="69"/>
      <c r="N411" s="68"/>
      <c r="O411" s="70"/>
      <c r="P411" s="66"/>
    </row>
    <row r="412" spans="2:16" hidden="1" x14ac:dyDescent="0.25">
      <c r="B412" s="71"/>
      <c r="C412" s="72"/>
      <c r="D412" s="71"/>
      <c r="E412" s="72"/>
      <c r="F412" s="71"/>
      <c r="G412" s="72"/>
      <c r="H412" s="71"/>
      <c r="I412" s="72"/>
      <c r="J412" s="71"/>
      <c r="K412" s="72"/>
      <c r="L412" s="71"/>
      <c r="M412" s="72"/>
      <c r="N412" s="71"/>
      <c r="O412" s="73"/>
      <c r="P412" s="66"/>
    </row>
    <row r="413" spans="2:16" hidden="1" x14ac:dyDescent="0.25">
      <c r="B413" s="74" t="s">
        <v>44</v>
      </c>
      <c r="C413" s="11">
        <f>SUM(C408:C412)</f>
        <v>0</v>
      </c>
      <c r="D413" s="74"/>
      <c r="E413" s="11">
        <f>SUM(E408:E412)</f>
        <v>0</v>
      </c>
      <c r="F413" s="74"/>
      <c r="G413" s="11">
        <f>SUM(G408:G412)</f>
        <v>0</v>
      </c>
      <c r="H413" s="74"/>
      <c r="I413" s="11">
        <f>SUM(I408:I412)</f>
        <v>0</v>
      </c>
      <c r="J413" s="74"/>
      <c r="K413" s="11">
        <f>SUM(K408:K412)</f>
        <v>0</v>
      </c>
      <c r="L413" s="74"/>
      <c r="M413" s="11">
        <f>SUM(M408:M412)</f>
        <v>0</v>
      </c>
      <c r="N413" s="74"/>
      <c r="O413" s="12">
        <f>SUM(O408:O412)</f>
        <v>0</v>
      </c>
      <c r="P413" s="75">
        <f>SUMIF(B406:N406,"&gt;="&amp;15,C413:O413)</f>
        <v>0</v>
      </c>
    </row>
    <row r="414" spans="2:16" ht="17.25" customHeight="1" x14ac:dyDescent="0.2"/>
    <row r="415" spans="2:16" ht="15" x14ac:dyDescent="0.25">
      <c r="B415" s="246" t="s">
        <v>51</v>
      </c>
      <c r="C415" s="246"/>
      <c r="D415" s="246"/>
      <c r="E415" s="246"/>
      <c r="F415" s="51" t="s">
        <v>82</v>
      </c>
      <c r="G415" s="51"/>
      <c r="H415" s="51"/>
      <c r="I415" s="51"/>
      <c r="J415" s="51"/>
      <c r="K415" s="51"/>
      <c r="L415" s="247" t="s">
        <v>83</v>
      </c>
      <c r="M415" s="247"/>
      <c r="N415" s="247" t="s">
        <v>85</v>
      </c>
      <c r="O415" s="247"/>
      <c r="P415" s="49"/>
    </row>
    <row r="416" spans="2:16" ht="25.5" customHeight="1" x14ac:dyDescent="0.25">
      <c r="B416" s="246"/>
      <c r="C416" s="246"/>
      <c r="D416" s="246"/>
      <c r="E416" s="246"/>
      <c r="F416" s="97" t="str">
        <f>Morgenmad</f>
        <v>Morgenmad</v>
      </c>
      <c r="G416" s="97">
        <f ca="1">IF(august_sum=0,0,(COUNTIF($B$422:$O$471,F416)-'Tilmeldte måltider'!G422))</f>
        <v>0</v>
      </c>
      <c r="H416" s="97" t="str">
        <f>hovedret</f>
        <v>Hovedret</v>
      </c>
      <c r="I416" s="97">
        <f ca="1">IF(august_sum=0,0,(COUNTIF(B421:O470,hovedret)-'Tilmeldte måltider'!I422))</f>
        <v>0</v>
      </c>
      <c r="J416" s="97" t="str">
        <f>Aftensmad</f>
        <v>Aftensmad</v>
      </c>
      <c r="K416" s="97">
        <f ca="1">IF(august_sum=0,0,(COUNTIF(B421:O470,Aftensmad)-'Tilmeldte måltider'!K422))</f>
        <v>0</v>
      </c>
      <c r="L416" s="268" t="e">
        <f ca="1">(G416*Morgenpris)+(I416*Frokostpris)+(K416*Aftenpris)+(G417*biretpris)+(I417*mellemmåltidspris)+(M417*gæstehpris)+(O417*gæstebpris)</f>
        <v>#VALUE!</v>
      </c>
      <c r="M416" s="269"/>
      <c r="N416" s="270" t="e">
        <f ca="1">$L$357+$L$416+$L$475+$L$534+$L$593+$L$652</f>
        <v>#VALUE!</v>
      </c>
      <c r="O416" s="271"/>
      <c r="P416" s="49"/>
    </row>
    <row r="417" spans="2:16" ht="25.5" customHeight="1" x14ac:dyDescent="0.45">
      <c r="B417" s="121"/>
      <c r="C417" s="121"/>
      <c r="D417" s="121"/>
      <c r="E417" s="121"/>
      <c r="F417" s="98" t="str">
        <f>biret</f>
        <v>Biret</v>
      </c>
      <c r="G417" s="97">
        <f ca="1">IF(august_sum=0,0,(COUNTIF($B$422:$O$471,F417)-'Tilmeldte måltider'!G423))</f>
        <v>0</v>
      </c>
      <c r="H417" s="98" t="str">
        <f>mellemmåltid</f>
        <v>Mellemmåltid</v>
      </c>
      <c r="I417" s="97">
        <f ca="1">IF(august_sum=0,0,(COUNTIF($B$422:$O$471,H417)-'Tilmeldte måltider'!I423))</f>
        <v>0</v>
      </c>
      <c r="J417" s="140" t="s">
        <v>105</v>
      </c>
      <c r="K417" s="140"/>
      <c r="L417" s="141" t="s">
        <v>25</v>
      </c>
      <c r="M417" s="100"/>
      <c r="N417" s="141" t="s">
        <v>15</v>
      </c>
      <c r="O417" s="100"/>
      <c r="P417" s="49"/>
    </row>
    <row r="418" spans="2:16" ht="9" customHeight="1" x14ac:dyDescent="0.2">
      <c r="B418" s="251">
        <v>1</v>
      </c>
      <c r="C418" s="251"/>
      <c r="D418" s="251">
        <v>2</v>
      </c>
      <c r="E418" s="251"/>
      <c r="F418" s="251">
        <v>3</v>
      </c>
      <c r="G418" s="251"/>
      <c r="H418" s="251">
        <v>4</v>
      </c>
      <c r="I418" s="251"/>
      <c r="J418" s="251">
        <v>5</v>
      </c>
      <c r="K418" s="251"/>
      <c r="L418" s="251">
        <v>6</v>
      </c>
      <c r="M418" s="251"/>
      <c r="N418" s="251">
        <v>7</v>
      </c>
      <c r="O418" s="251"/>
      <c r="P418" s="50"/>
    </row>
    <row r="419" spans="2:16" ht="15" customHeight="1" x14ac:dyDescent="0.25">
      <c r="B419" s="252" t="s">
        <v>34</v>
      </c>
      <c r="C419" s="253"/>
      <c r="D419" s="254" t="s">
        <v>35</v>
      </c>
      <c r="E419" s="255" t="e">
        <f>IF(WEEKDAY(DATEVALUE(Month1&amp;" 1, "&amp;Year1))=COLUMN(#REF!),1,IF(LEN(C419)&gt;0,C419+1,""))</f>
        <v>#NAME?</v>
      </c>
      <c r="F419" s="253" t="s">
        <v>36</v>
      </c>
      <c r="G419" s="253" t="e">
        <f>IF(WEEKDAY(DATEVALUE(Month1&amp;" 1, "&amp;Year1))=COLUMN(#REF!),1,IF(LEN(E419)&gt;0,E419+1,""))</f>
        <v>#NAME?</v>
      </c>
      <c r="H419" s="254" t="s">
        <v>37</v>
      </c>
      <c r="I419" s="255" t="e">
        <f>IF(WEEKDAY(DATEVALUE(Month1&amp;" 1, "&amp;Year1))=COLUMN(#REF!),1,IF(LEN(G419)&gt;0,G419+1,""))</f>
        <v>#NAME?</v>
      </c>
      <c r="J419" s="256" t="s">
        <v>38</v>
      </c>
      <c r="K419" s="257" t="e">
        <f>IF(WEEKDAY(DATEVALUE(Month1&amp;" 1, "&amp;Year1))=COLUMN(#REF!),1,IF(LEN(I419)&gt;0,I419+1,""))</f>
        <v>#NAME?</v>
      </c>
      <c r="L419" s="258" t="s">
        <v>39</v>
      </c>
      <c r="M419" s="259" t="e">
        <f>IF(WEEKDAY(DATEVALUE(Month1&amp;" 1, "&amp;Year1))=COLUMN(#REF!),1,IF(LEN(K419)&gt;0,K419+1,""))</f>
        <v>#NAME?</v>
      </c>
      <c r="N419" s="258" t="s">
        <v>40</v>
      </c>
      <c r="O419" s="259" t="e">
        <f>IF(WEEKDAY(DATEVALUE(Month1&amp;" 1, "&amp;Year1))=COLUMN(#REF!),1,IF(LEN(M419)&gt;0,M419+1,""))</f>
        <v>#NAME?</v>
      </c>
      <c r="P419" s="53" t="s">
        <v>41</v>
      </c>
    </row>
    <row r="420" spans="2:16" ht="12.75" x14ac:dyDescent="0.25">
      <c r="B420" s="55">
        <f>DAY(IF(DAY(AugSøn1)=1,AugSøn1-6,AugSøn1+1))</f>
        <v>29</v>
      </c>
      <c r="C420" s="56"/>
      <c r="D420" s="57">
        <f>DAY(IF(DAY(AugSøn1)=1,AugSøn1-5,AugSøn1+2))</f>
        <v>30</v>
      </c>
      <c r="E420" s="56"/>
      <c r="F420" s="57">
        <f>DAY(IF(DAY(AugSøn1)=1,AugSøn1-4,AugSøn1+3))</f>
        <v>31</v>
      </c>
      <c r="G420" s="56"/>
      <c r="H420" s="57">
        <f>DAY(IF(DAY(AugSøn1)=1,AugSøn1-3,AugSøn1+4))</f>
        <v>1</v>
      </c>
      <c r="I420" s="56"/>
      <c r="J420" s="57">
        <f>DAY(IF(DAY(AugSøn1)=1,AugSøn1-2,AugSøn1+5))</f>
        <v>2</v>
      </c>
      <c r="K420" s="56"/>
      <c r="L420" s="57">
        <f>DAY(IF(DAY(AugSøn1)=1,AugSøn1-1,AugSøn1+6))</f>
        <v>3</v>
      </c>
      <c r="M420" s="56"/>
      <c r="N420" s="58">
        <f>DAY(IF(DAY(AugSøn1)=1,AugSøn1,AugSøn1+7))</f>
        <v>4</v>
      </c>
      <c r="O420" s="59"/>
      <c r="P420" s="60"/>
    </row>
    <row r="421" spans="2:16" x14ac:dyDescent="0.25">
      <c r="B421" s="61" t="s">
        <v>42</v>
      </c>
      <c r="C421" s="62" t="s">
        <v>43</v>
      </c>
      <c r="D421" s="63" t="s">
        <v>42</v>
      </c>
      <c r="E421" s="62" t="s">
        <v>43</v>
      </c>
      <c r="F421" s="63" t="s">
        <v>42</v>
      </c>
      <c r="G421" s="62" t="s">
        <v>43</v>
      </c>
      <c r="H421" s="63" t="s">
        <v>42</v>
      </c>
      <c r="I421" s="62" t="s">
        <v>43</v>
      </c>
      <c r="J421" s="63" t="s">
        <v>42</v>
      </c>
      <c r="K421" s="62" t="s">
        <v>43</v>
      </c>
      <c r="L421" s="63" t="s">
        <v>42</v>
      </c>
      <c r="M421" s="62" t="s">
        <v>43</v>
      </c>
      <c r="N421" s="64" t="s">
        <v>42</v>
      </c>
      <c r="O421" s="65" t="s">
        <v>43</v>
      </c>
      <c r="P421" s="66"/>
    </row>
    <row r="422" spans="2:16" x14ac:dyDescent="0.25">
      <c r="B422" s="136" t="str">
        <f>IF(Tilmeldingsoversigt!$C$7="x",Morgenmad," ")</f>
        <v>Morgenmad</v>
      </c>
      <c r="C422" s="67">
        <f ca="1">IF(B422=Morgenmad,Tilmeldingsoversigt!$C$15," ")</f>
        <v>16.754098360655739</v>
      </c>
      <c r="D422" s="136" t="str">
        <f>IF(Tilmeldingsoversigt!$D$7="x",Morgenmad," ")</f>
        <v>Morgenmad</v>
      </c>
      <c r="E422" s="67">
        <f ca="1">IF(D422=Morgenmad,Tilmeldingsoversigt!$C$15," ")</f>
        <v>16.754098360655739</v>
      </c>
      <c r="F422" s="136" t="str">
        <f>IF(Tilmeldingsoversigt!$E$7="x",Morgenmad," ")</f>
        <v>Morgenmad</v>
      </c>
      <c r="G422" s="67">
        <f ca="1">IF(F422=Morgenmad,Tilmeldingsoversigt!$C$15," ")</f>
        <v>16.754098360655739</v>
      </c>
      <c r="H422" s="136" t="str">
        <f>IF(Tilmeldingsoversigt!$F$7="x",Morgenmad," ")</f>
        <v>Morgenmad</v>
      </c>
      <c r="I422" s="67">
        <f ca="1">IF(H422=Morgenmad,Tilmeldingsoversigt!$C$15," ")</f>
        <v>16.754098360655739</v>
      </c>
      <c r="J422" s="136" t="str">
        <f>IF(Tilmeldingsoversigt!$G$7="x",Morgenmad," ")</f>
        <v>Morgenmad</v>
      </c>
      <c r="K422" s="67">
        <f ca="1">IF(J422=Morgenmad,Tilmeldingsoversigt!$C$15," ")</f>
        <v>16.754098360655739</v>
      </c>
      <c r="L422" s="136" t="str">
        <f>IF(Tilmeldingsoversigt!$H$7="x",Morgenmad," ")</f>
        <v>Morgenmad</v>
      </c>
      <c r="M422" s="67">
        <f ca="1">IF(L422=Morgenmad,Tilmeldingsoversigt!$C$15," ")</f>
        <v>16.754098360655739</v>
      </c>
      <c r="N422" s="136" t="str">
        <f>IF(Tilmeldingsoversigt!$I$7="x",Morgenmad," ")</f>
        <v>Morgenmad</v>
      </c>
      <c r="O422" s="83">
        <f ca="1">IF(N422=Morgenmad,Tilmeldingsoversigt!$C$15," ")</f>
        <v>16.754098360655739</v>
      </c>
      <c r="P422" s="66"/>
    </row>
    <row r="423" spans="2:16" x14ac:dyDescent="0.25">
      <c r="B423" s="68" t="str">
        <f>IF(Tilmeldingsoversigt!$C$8="x",hovedret," ")</f>
        <v>Hovedret</v>
      </c>
      <c r="C423" s="69">
        <f ca="1">IF(B423=hovedret,Tilmeldingsoversigt!$C$16," ")</f>
        <v>55.016393442622949</v>
      </c>
      <c r="D423" s="68" t="str">
        <f>IF(Tilmeldingsoversigt!$D$8="x",hovedret," ")</f>
        <v>Hovedret</v>
      </c>
      <c r="E423" s="69">
        <f ca="1">IF(D423=hovedret,Tilmeldingsoversigt!$C$16," ")</f>
        <v>55.016393442622949</v>
      </c>
      <c r="F423" s="68" t="str">
        <f>IF(Tilmeldingsoversigt!$E$8="x",hovedret," ")</f>
        <v>Hovedret</v>
      </c>
      <c r="G423" s="69">
        <f ca="1">IF(F423=hovedret,Tilmeldingsoversigt!$C$16," ")</f>
        <v>55.016393442622949</v>
      </c>
      <c r="H423" s="68" t="str">
        <f>IF(Tilmeldingsoversigt!$F$8="x",hovedret," ")</f>
        <v>Hovedret</v>
      </c>
      <c r="I423" s="69">
        <f ca="1">IF(H423=hovedret,Tilmeldingsoversigt!$C$16," ")</f>
        <v>55.016393442622949</v>
      </c>
      <c r="J423" s="68" t="str">
        <f>IF(Tilmeldingsoversigt!$G$8="x",hovedret," ")</f>
        <v>Hovedret</v>
      </c>
      <c r="K423" s="69">
        <f ca="1">IF(J423=hovedret,Tilmeldingsoversigt!$C$16," ")</f>
        <v>55.016393442622949</v>
      </c>
      <c r="L423" s="68" t="str">
        <f>IF(Tilmeldingsoversigt!$H$8="x",hovedret," ")</f>
        <v>Hovedret</v>
      </c>
      <c r="M423" s="69">
        <f ca="1">IF(L423=hovedret,Tilmeldingsoversigt!$C$16," ")</f>
        <v>55.016393442622949</v>
      </c>
      <c r="N423" s="68" t="str">
        <f>IF(Tilmeldingsoversigt!$I$8="x",hovedret," ")</f>
        <v>Hovedret</v>
      </c>
      <c r="O423" s="70">
        <f ca="1">IF(N423=hovedret,Tilmeldingsoversigt!$C$16," ")</f>
        <v>55.016393442622949</v>
      </c>
      <c r="P423" s="66"/>
    </row>
    <row r="424" spans="2:16" x14ac:dyDescent="0.25">
      <c r="B424" s="68" t="str">
        <f>IF(Tilmeldingsoversigt!$C$9="x",Aftensmad," ")</f>
        <v>Aftensmad</v>
      </c>
      <c r="C424" s="69">
        <f ca="1">IF(B424=Aftensmad,Tilmeldingsoversigt!$C$17," ")</f>
        <v>27.540983606557376</v>
      </c>
      <c r="D424" s="68" t="str">
        <f>IF(Tilmeldingsoversigt!$D$9="x",Aftensmad," ")</f>
        <v>Aftensmad</v>
      </c>
      <c r="E424" s="69">
        <f ca="1">IF(D424=Aftensmad,Tilmeldingsoversigt!$C$17," ")</f>
        <v>27.540983606557376</v>
      </c>
      <c r="F424" s="68" t="str">
        <f>IF(Tilmeldingsoversigt!$E$9="x",Aftensmad," ")</f>
        <v>Aftensmad</v>
      </c>
      <c r="G424" s="69">
        <f ca="1">IF(F424=Aftensmad,Tilmeldingsoversigt!$C$17," ")</f>
        <v>27.540983606557376</v>
      </c>
      <c r="H424" s="68" t="str">
        <f>IF(Tilmeldingsoversigt!$F$9="x",Aftensmad," ")</f>
        <v>Aftensmad</v>
      </c>
      <c r="I424" s="69">
        <f ca="1">IF(H424=Aftensmad,Tilmeldingsoversigt!$C$17," ")</f>
        <v>27.540983606557376</v>
      </c>
      <c r="J424" s="68" t="str">
        <f>IF(Tilmeldingsoversigt!$G$9="x",Aftensmad," ")</f>
        <v>Aftensmad</v>
      </c>
      <c r="K424" s="69">
        <f ca="1">IF(J424=Aftensmad,Tilmeldingsoversigt!$C$17," ")</f>
        <v>27.540983606557376</v>
      </c>
      <c r="L424" s="68" t="str">
        <f>IF(Tilmeldingsoversigt!$H$9="x",Aftensmad," ")</f>
        <v>Aftensmad</v>
      </c>
      <c r="M424" s="69">
        <f ca="1">IF(L424=Aftensmad,Tilmeldingsoversigt!$C$17," ")</f>
        <v>27.540983606557376</v>
      </c>
      <c r="N424" s="68" t="str">
        <f>IF(Tilmeldingsoversigt!$I$9="x",Aftensmad," ")</f>
        <v>Aftensmad</v>
      </c>
      <c r="O424" s="70">
        <f ca="1">IF(N424=Aftensmad,Tilmeldingsoversigt!$C$17," ")</f>
        <v>27.540983606557376</v>
      </c>
      <c r="P424" s="66"/>
    </row>
    <row r="425" spans="2:16" x14ac:dyDescent="0.25">
      <c r="B425" s="68" t="str">
        <f>IF(Tilmeldingsoversigt!$C$10="x",biret," ")</f>
        <v>Biret</v>
      </c>
      <c r="C425" s="69">
        <f>IF(B425=biret,biretpris," ")</f>
        <v>0</v>
      </c>
      <c r="D425" s="68" t="str">
        <f>IF(Tilmeldingsoversigt!$D$10="x",biret," ")</f>
        <v>Biret</v>
      </c>
      <c r="E425" s="69">
        <f>IF(D425=biret,biretpris," ")</f>
        <v>0</v>
      </c>
      <c r="F425" s="68" t="str">
        <f>IF(Tilmeldingsoversigt!$E$10="x",biret," ")</f>
        <v>Biret</v>
      </c>
      <c r="G425" s="69">
        <f>IF(F425=biret,biretpris," ")</f>
        <v>0</v>
      </c>
      <c r="H425" s="68" t="str">
        <f>IF(Tilmeldingsoversigt!$F$10="x",biret," ")</f>
        <v>Biret</v>
      </c>
      <c r="I425" s="69">
        <f>IF(H425=biret,biretpris," ")</f>
        <v>0</v>
      </c>
      <c r="J425" s="68" t="str">
        <f>IF(Tilmeldingsoversigt!$G$10="x",biret," ")</f>
        <v>Biret</v>
      </c>
      <c r="K425" s="69">
        <f>IF(J425=biret,biretpris," ")</f>
        <v>0</v>
      </c>
      <c r="L425" s="68" t="str">
        <f>IF(Tilmeldingsoversigt!$H$10="x",biret," ")</f>
        <v>Biret</v>
      </c>
      <c r="M425" s="69">
        <f>IF(L425=biret,biretpris," ")</f>
        <v>0</v>
      </c>
      <c r="N425" s="68" t="str">
        <f>IF(Tilmeldingsoversigt!$I$10="x",biret," ")</f>
        <v>Biret</v>
      </c>
      <c r="O425" s="70">
        <f>IF(N425=biret,biretpris," ")</f>
        <v>0</v>
      </c>
      <c r="P425" s="66"/>
    </row>
    <row r="426" spans="2:16" x14ac:dyDescent="0.25">
      <c r="B426" s="71" t="str">
        <f>IF(Tilmeldingsoversigt!$C$11="x",mellemmåltid," ")</f>
        <v xml:space="preserve"> </v>
      </c>
      <c r="C426" s="72" t="str">
        <f>IF(B426=mellemmåltid,mellemmåltidspris," ")</f>
        <v xml:space="preserve"> </v>
      </c>
      <c r="D426" s="71" t="str">
        <f>IF(Tilmeldingsoversigt!$C$11="x",mellemmåltid," ")</f>
        <v xml:space="preserve"> </v>
      </c>
      <c r="E426" s="72" t="str">
        <f>IF(D426=mellemmåltid,mellemmåltidspris," ")</f>
        <v xml:space="preserve"> </v>
      </c>
      <c r="F426" s="71" t="str">
        <f>IF(Tilmeldingsoversigt!$C$11="x",mellemmåltid," ")</f>
        <v xml:space="preserve"> </v>
      </c>
      <c r="G426" s="72" t="str">
        <f>IF(F426=mellemmåltid,mellemmåltidspris," ")</f>
        <v xml:space="preserve"> </v>
      </c>
      <c r="H426" s="71" t="str">
        <f>IF(Tilmeldingsoversigt!$C$11="x",mellemmåltid," ")</f>
        <v xml:space="preserve"> </v>
      </c>
      <c r="I426" s="72" t="str">
        <f>IF(H426=mellemmåltid,mellemmåltidspris," ")</f>
        <v xml:space="preserve"> </v>
      </c>
      <c r="J426" s="71" t="str">
        <f>IF(Tilmeldingsoversigt!$C$11="x",mellemmåltid," ")</f>
        <v xml:space="preserve"> </v>
      </c>
      <c r="K426" s="72" t="str">
        <f>IF(J426=mellemmåltid,mellemmåltidspris," ")</f>
        <v xml:space="preserve"> </v>
      </c>
      <c r="L426" s="71" t="str">
        <f>IF(Tilmeldingsoversigt!$C$11="x",mellemmåltid," ")</f>
        <v xml:space="preserve"> </v>
      </c>
      <c r="M426" s="72" t="str">
        <f>IF(L426=mellemmåltid,mellemmåltidspris," ")</f>
        <v xml:space="preserve"> </v>
      </c>
      <c r="N426" s="71" t="str">
        <f>IF(Tilmeldingsoversigt!$C$11="x",mellemmåltid," ")</f>
        <v xml:space="preserve"> </v>
      </c>
      <c r="O426" s="73" t="str">
        <f>IF(N426=mellemmåltid,mellemmåltidspris," ")</f>
        <v xml:space="preserve"> </v>
      </c>
      <c r="P426" s="66"/>
    </row>
    <row r="427" spans="2:16" x14ac:dyDescent="0.25">
      <c r="B427" s="74" t="s">
        <v>44</v>
      </c>
      <c r="C427" s="11">
        <f ca="1">SUM(C422:C426)</f>
        <v>99.311475409836063</v>
      </c>
      <c r="D427" s="74"/>
      <c r="E427" s="11">
        <f ca="1">SUM(E422:E426)</f>
        <v>99.311475409836063</v>
      </c>
      <c r="F427" s="74"/>
      <c r="G427" s="11">
        <f ca="1">SUM(G422:G426)</f>
        <v>99.311475409836063</v>
      </c>
      <c r="H427" s="74"/>
      <c r="I427" s="11">
        <f ca="1">SUM(I422:I426)</f>
        <v>99.311475409836063</v>
      </c>
      <c r="J427" s="74"/>
      <c r="K427" s="11">
        <f ca="1">SUM(K422:K426)</f>
        <v>99.311475409836063</v>
      </c>
      <c r="L427" s="74"/>
      <c r="M427" s="11">
        <f ca="1">SUM(M422:M426)</f>
        <v>99.311475409836063</v>
      </c>
      <c r="N427" s="74"/>
      <c r="O427" s="12">
        <f ca="1">SUM(O422:O426)</f>
        <v>99.311475409836063</v>
      </c>
      <c r="P427" s="75">
        <f ca="1">SUMIF(B420:N420,"&lt;8",C427:O427)</f>
        <v>397.24590163934425</v>
      </c>
    </row>
    <row r="428" spans="2:16" x14ac:dyDescent="0.2">
      <c r="B428" s="76"/>
      <c r="C428" s="77"/>
      <c r="D428" s="77"/>
      <c r="E428" s="77"/>
      <c r="F428" s="77"/>
      <c r="G428" s="77"/>
      <c r="H428" s="77"/>
      <c r="I428" s="77"/>
      <c r="J428" s="77"/>
      <c r="K428" s="77"/>
      <c r="L428" s="77"/>
      <c r="M428" s="77"/>
      <c r="N428" s="77"/>
      <c r="O428" s="77"/>
      <c r="P428" s="76"/>
    </row>
    <row r="429" spans="2:16" ht="12.75" x14ac:dyDescent="0.25">
      <c r="B429" s="78">
        <f>N420+1</f>
        <v>5</v>
      </c>
      <c r="C429" s="79"/>
      <c r="D429" s="78">
        <f>B429+1</f>
        <v>6</v>
      </c>
      <c r="E429" s="79"/>
      <c r="F429" s="78">
        <f>D429+1</f>
        <v>7</v>
      </c>
      <c r="G429" s="79"/>
      <c r="H429" s="78">
        <f>F429+1</f>
        <v>8</v>
      </c>
      <c r="I429" s="79"/>
      <c r="J429" s="78">
        <f>H429+1</f>
        <v>9</v>
      </c>
      <c r="K429" s="79"/>
      <c r="L429" s="78">
        <f>J429+1</f>
        <v>10</v>
      </c>
      <c r="M429" s="79"/>
      <c r="N429" s="78">
        <f>L429+1</f>
        <v>11</v>
      </c>
      <c r="O429" s="79"/>
      <c r="P429" s="80"/>
    </row>
    <row r="430" spans="2:16" x14ac:dyDescent="0.25">
      <c r="B430" s="64" t="s">
        <v>42</v>
      </c>
      <c r="C430" s="81" t="s">
        <v>43</v>
      </c>
      <c r="D430" s="64" t="s">
        <v>42</v>
      </c>
      <c r="E430" s="81" t="s">
        <v>43</v>
      </c>
      <c r="F430" s="64" t="s">
        <v>42</v>
      </c>
      <c r="G430" s="81" t="s">
        <v>43</v>
      </c>
      <c r="H430" s="64" t="s">
        <v>42</v>
      </c>
      <c r="I430" s="81" t="s">
        <v>43</v>
      </c>
      <c r="J430" s="64" t="s">
        <v>42</v>
      </c>
      <c r="K430" s="81" t="s">
        <v>43</v>
      </c>
      <c r="L430" s="64" t="s">
        <v>42</v>
      </c>
      <c r="M430" s="81" t="s">
        <v>43</v>
      </c>
      <c r="N430" s="64" t="s">
        <v>42</v>
      </c>
      <c r="O430" s="82" t="s">
        <v>43</v>
      </c>
      <c r="P430" s="66"/>
    </row>
    <row r="431" spans="2:16" x14ac:dyDescent="0.25">
      <c r="B431" s="136" t="str">
        <f>IF(Tilmeldingsoversigt!$C$7="x",Morgenmad," ")</f>
        <v>Morgenmad</v>
      </c>
      <c r="C431" s="67">
        <f ca="1">IF(B431=Morgenmad,Tilmeldingsoversigt!$C$15," ")</f>
        <v>16.754098360655739</v>
      </c>
      <c r="D431" s="136" t="str">
        <f>IF(Tilmeldingsoversigt!$D$7="x",Morgenmad," ")</f>
        <v>Morgenmad</v>
      </c>
      <c r="E431" s="67">
        <f ca="1">IF(D431=Morgenmad,Tilmeldingsoversigt!$C$15," ")</f>
        <v>16.754098360655739</v>
      </c>
      <c r="F431" s="136" t="str">
        <f>IF(Tilmeldingsoversigt!$E$7="x",Morgenmad," ")</f>
        <v>Morgenmad</v>
      </c>
      <c r="G431" s="67">
        <f ca="1">IF(F431=Morgenmad,Tilmeldingsoversigt!$C$15," ")</f>
        <v>16.754098360655739</v>
      </c>
      <c r="H431" s="136" t="str">
        <f>IF(Tilmeldingsoversigt!$F$7="x",Morgenmad," ")</f>
        <v>Morgenmad</v>
      </c>
      <c r="I431" s="67">
        <f ca="1">IF(H431=Morgenmad,Tilmeldingsoversigt!$C$15," ")</f>
        <v>16.754098360655739</v>
      </c>
      <c r="J431" s="136" t="str">
        <f>IF(Tilmeldingsoversigt!$G$7="x",Morgenmad," ")</f>
        <v>Morgenmad</v>
      </c>
      <c r="K431" s="67">
        <f ca="1">IF(J431=Morgenmad,Tilmeldingsoversigt!$C$15," ")</f>
        <v>16.754098360655739</v>
      </c>
      <c r="L431" s="136" t="str">
        <f>IF(Tilmeldingsoversigt!$H$7="x",Morgenmad," ")</f>
        <v>Morgenmad</v>
      </c>
      <c r="M431" s="67">
        <f ca="1">IF(L431=Morgenmad,Tilmeldingsoversigt!$C$15," ")</f>
        <v>16.754098360655739</v>
      </c>
      <c r="N431" s="136" t="str">
        <f>IF(Tilmeldingsoversigt!$I$7="x",Morgenmad," ")</f>
        <v>Morgenmad</v>
      </c>
      <c r="O431" s="83">
        <f ca="1">IF(N431=Morgenmad,Tilmeldingsoversigt!$C$15," ")</f>
        <v>16.754098360655739</v>
      </c>
      <c r="P431" s="66"/>
    </row>
    <row r="432" spans="2:16" x14ac:dyDescent="0.25">
      <c r="B432" s="68" t="str">
        <f>IF(Tilmeldingsoversigt!$C$8="x",hovedret," ")</f>
        <v>Hovedret</v>
      </c>
      <c r="C432" s="69">
        <f ca="1">IF(B432=hovedret,Tilmeldingsoversigt!$C$16," ")</f>
        <v>55.016393442622949</v>
      </c>
      <c r="D432" s="68" t="str">
        <f>IF(Tilmeldingsoversigt!$D$8="x",hovedret," ")</f>
        <v>Hovedret</v>
      </c>
      <c r="E432" s="69">
        <f ca="1">IF(D432=hovedret,Tilmeldingsoversigt!$C$16," ")</f>
        <v>55.016393442622949</v>
      </c>
      <c r="F432" s="68" t="str">
        <f>IF(Tilmeldingsoversigt!$E$8="x",hovedret," ")</f>
        <v>Hovedret</v>
      </c>
      <c r="G432" s="69">
        <f ca="1">IF(F432=hovedret,Tilmeldingsoversigt!$C$16," ")</f>
        <v>55.016393442622949</v>
      </c>
      <c r="H432" s="68" t="str">
        <f>IF(Tilmeldingsoversigt!$F$8="x",hovedret," ")</f>
        <v>Hovedret</v>
      </c>
      <c r="I432" s="69">
        <f ca="1">IF(H432=hovedret,Tilmeldingsoversigt!$C$16," ")</f>
        <v>55.016393442622949</v>
      </c>
      <c r="J432" s="68" t="str">
        <f>IF(Tilmeldingsoversigt!$G$8="x",hovedret," ")</f>
        <v>Hovedret</v>
      </c>
      <c r="K432" s="69">
        <f ca="1">IF(J432=hovedret,Tilmeldingsoversigt!$C$16," ")</f>
        <v>55.016393442622949</v>
      </c>
      <c r="L432" s="68" t="str">
        <f>IF(Tilmeldingsoversigt!$H$8="x",hovedret," ")</f>
        <v>Hovedret</v>
      </c>
      <c r="M432" s="69">
        <f ca="1">IF(L432=hovedret,Tilmeldingsoversigt!$C$16," ")</f>
        <v>55.016393442622949</v>
      </c>
      <c r="N432" s="68" t="str">
        <f>IF(Tilmeldingsoversigt!$I$8="x",hovedret," ")</f>
        <v>Hovedret</v>
      </c>
      <c r="O432" s="70">
        <f ca="1">IF(N432=hovedret,Tilmeldingsoversigt!$C$16," ")</f>
        <v>55.016393442622949</v>
      </c>
      <c r="P432" s="66"/>
    </row>
    <row r="433" spans="2:16" x14ac:dyDescent="0.25">
      <c r="B433" s="68" t="str">
        <f>IF(Tilmeldingsoversigt!$C$9="x",Aftensmad," ")</f>
        <v>Aftensmad</v>
      </c>
      <c r="C433" s="69">
        <f ca="1">IF(B433=Aftensmad,Tilmeldingsoversigt!$C$17," ")</f>
        <v>27.540983606557376</v>
      </c>
      <c r="D433" s="68" t="str">
        <f>IF(Tilmeldingsoversigt!$D$9="x",Aftensmad," ")</f>
        <v>Aftensmad</v>
      </c>
      <c r="E433" s="69">
        <f ca="1">IF(D433=Aftensmad,Tilmeldingsoversigt!$C$17," ")</f>
        <v>27.540983606557376</v>
      </c>
      <c r="F433" s="68" t="str">
        <f>IF(Tilmeldingsoversigt!$E$9="x",Aftensmad," ")</f>
        <v>Aftensmad</v>
      </c>
      <c r="G433" s="69">
        <f ca="1">IF(F433=Aftensmad,Tilmeldingsoversigt!$C$17," ")</f>
        <v>27.540983606557376</v>
      </c>
      <c r="H433" s="68" t="str">
        <f>IF(Tilmeldingsoversigt!$F$9="x",Aftensmad," ")</f>
        <v>Aftensmad</v>
      </c>
      <c r="I433" s="69">
        <f ca="1">IF(H433=Aftensmad,Tilmeldingsoversigt!$C$17," ")</f>
        <v>27.540983606557376</v>
      </c>
      <c r="J433" s="68" t="str">
        <f>IF(Tilmeldingsoversigt!$G$9="x",Aftensmad," ")</f>
        <v>Aftensmad</v>
      </c>
      <c r="K433" s="69">
        <f ca="1">IF(J433=Aftensmad,Tilmeldingsoversigt!$C$17," ")</f>
        <v>27.540983606557376</v>
      </c>
      <c r="L433" s="68" t="str">
        <f>IF(Tilmeldingsoversigt!$H$9="x",Aftensmad," ")</f>
        <v>Aftensmad</v>
      </c>
      <c r="M433" s="69">
        <f ca="1">IF(L433=Aftensmad,Tilmeldingsoversigt!$C$17," ")</f>
        <v>27.540983606557376</v>
      </c>
      <c r="N433" s="68" t="str">
        <f>IF(Tilmeldingsoversigt!$I$9="x",Aftensmad," ")</f>
        <v>Aftensmad</v>
      </c>
      <c r="O433" s="70">
        <f ca="1">IF(N433=Aftensmad,Tilmeldingsoversigt!$C$17," ")</f>
        <v>27.540983606557376</v>
      </c>
      <c r="P433" s="66"/>
    </row>
    <row r="434" spans="2:16" x14ac:dyDescent="0.25">
      <c r="B434" s="68" t="str">
        <f>IF(Tilmeldingsoversigt!$C$10="x",biret," ")</f>
        <v>Biret</v>
      </c>
      <c r="C434" s="69">
        <f>IF(B434=biret,biretpris," ")</f>
        <v>0</v>
      </c>
      <c r="D434" s="68" t="str">
        <f>IF(Tilmeldingsoversigt!$D$10="x",biret," ")</f>
        <v>Biret</v>
      </c>
      <c r="E434" s="69">
        <f>IF(D434=biret,biretpris," ")</f>
        <v>0</v>
      </c>
      <c r="F434" s="68" t="str">
        <f>IF(Tilmeldingsoversigt!$E$10="x",biret," ")</f>
        <v>Biret</v>
      </c>
      <c r="G434" s="69">
        <f>IF(F434=biret,biretpris," ")</f>
        <v>0</v>
      </c>
      <c r="H434" s="68" t="str">
        <f>IF(Tilmeldingsoversigt!$F$10="x",biret," ")</f>
        <v>Biret</v>
      </c>
      <c r="I434" s="69">
        <f>IF(H434=biret,biretpris," ")</f>
        <v>0</v>
      </c>
      <c r="J434" s="68" t="str">
        <f>IF(Tilmeldingsoversigt!$G$10="x",biret," ")</f>
        <v>Biret</v>
      </c>
      <c r="K434" s="69">
        <f>IF(J434=biret,biretpris," ")</f>
        <v>0</v>
      </c>
      <c r="L434" s="68" t="str">
        <f>IF(Tilmeldingsoversigt!$H$10="x",biret," ")</f>
        <v>Biret</v>
      </c>
      <c r="M434" s="69">
        <f>IF(L434=biret,biretpris," ")</f>
        <v>0</v>
      </c>
      <c r="N434" s="68" t="str">
        <f>IF(Tilmeldingsoversigt!$I$10="x",biret," ")</f>
        <v>Biret</v>
      </c>
      <c r="O434" s="70">
        <f>IF(N434=biret,biretpris," ")</f>
        <v>0</v>
      </c>
      <c r="P434" s="66"/>
    </row>
    <row r="435" spans="2:16" x14ac:dyDescent="0.25">
      <c r="B435" s="71" t="str">
        <f>IF(Tilmeldingsoversigt!$C$11="x",mellemmåltid," ")</f>
        <v xml:space="preserve"> </v>
      </c>
      <c r="C435" s="72" t="str">
        <f>IF(B435=mellemmåltid,mellemmåltidspris," ")</f>
        <v xml:space="preserve"> </v>
      </c>
      <c r="D435" s="71" t="str">
        <f>IF(Tilmeldingsoversigt!$C$11="x",mellemmåltid," ")</f>
        <v xml:space="preserve"> </v>
      </c>
      <c r="E435" s="72" t="str">
        <f>IF(D435=mellemmåltid,mellemmåltidspris," ")</f>
        <v xml:space="preserve"> </v>
      </c>
      <c r="F435" s="71" t="str">
        <f>IF(Tilmeldingsoversigt!$C$11="x",mellemmåltid," ")</f>
        <v xml:space="preserve"> </v>
      </c>
      <c r="G435" s="72" t="str">
        <f>IF(F435=mellemmåltid,mellemmåltidspris," ")</f>
        <v xml:space="preserve"> </v>
      </c>
      <c r="H435" s="71" t="str">
        <f>IF(Tilmeldingsoversigt!$C$11="x",mellemmåltid," ")</f>
        <v xml:space="preserve"> </v>
      </c>
      <c r="I435" s="72" t="str">
        <f>IF(H435=mellemmåltid,mellemmåltidspris," ")</f>
        <v xml:space="preserve"> </v>
      </c>
      <c r="J435" s="71" t="str">
        <f>IF(Tilmeldingsoversigt!$C$11="x",mellemmåltid," ")</f>
        <v xml:space="preserve"> </v>
      </c>
      <c r="K435" s="72" t="str">
        <f>IF(J435=mellemmåltid,mellemmåltidspris," ")</f>
        <v xml:space="preserve"> </v>
      </c>
      <c r="L435" s="71" t="str">
        <f>IF(Tilmeldingsoversigt!$C$11="x",mellemmåltid," ")</f>
        <v xml:space="preserve"> </v>
      </c>
      <c r="M435" s="72" t="str">
        <f>IF(L435=mellemmåltid,mellemmåltidspris," ")</f>
        <v xml:space="preserve"> </v>
      </c>
      <c r="N435" s="71" t="str">
        <f>IF(Tilmeldingsoversigt!$C$11="x",mellemmåltid," ")</f>
        <v xml:space="preserve"> </v>
      </c>
      <c r="O435" s="73" t="str">
        <f>IF(N435=mellemmåltid,mellemmåltidspris," ")</f>
        <v xml:space="preserve"> </v>
      </c>
      <c r="P435" s="66"/>
    </row>
    <row r="436" spans="2:16" x14ac:dyDescent="0.25">
      <c r="B436" s="74" t="s">
        <v>44</v>
      </c>
      <c r="C436" s="11">
        <f ca="1">SUM(C431:C435)</f>
        <v>99.311475409836063</v>
      </c>
      <c r="D436" s="74"/>
      <c r="E436" s="11">
        <f ca="1">SUM(E431:E435)</f>
        <v>99.311475409836063</v>
      </c>
      <c r="F436" s="74"/>
      <c r="G436" s="11">
        <f ca="1">SUM(G431:G435)</f>
        <v>99.311475409836063</v>
      </c>
      <c r="H436" s="74"/>
      <c r="I436" s="11">
        <f ca="1">SUM(I431:I435)</f>
        <v>99.311475409836063</v>
      </c>
      <c r="J436" s="74"/>
      <c r="K436" s="11">
        <f ca="1">SUM(K431:K435)</f>
        <v>99.311475409836063</v>
      </c>
      <c r="L436" s="74"/>
      <c r="M436" s="11">
        <f ca="1">SUM(M431:M435)</f>
        <v>99.311475409836063</v>
      </c>
      <c r="N436" s="74"/>
      <c r="O436" s="12">
        <f ca="1">SUM(O431:O435)</f>
        <v>99.311475409836063</v>
      </c>
      <c r="P436" s="75">
        <f ca="1">SUM(C436,E436,G436,I436,K436,M436,O436)</f>
        <v>695.18032786885237</v>
      </c>
    </row>
    <row r="437" spans="2:16" x14ac:dyDescent="0.2">
      <c r="B437" s="76"/>
      <c r="C437" s="77"/>
      <c r="D437" s="77"/>
      <c r="E437" s="77"/>
      <c r="F437" s="77"/>
      <c r="G437" s="77"/>
      <c r="H437" s="77"/>
      <c r="I437" s="77"/>
      <c r="J437" s="77"/>
      <c r="K437" s="77"/>
      <c r="L437" s="77"/>
      <c r="M437" s="77"/>
      <c r="N437" s="77"/>
      <c r="O437" s="77"/>
      <c r="P437" s="76"/>
    </row>
    <row r="438" spans="2:16" ht="12.75" x14ac:dyDescent="0.25">
      <c r="B438" s="78">
        <f>N429+1</f>
        <v>12</v>
      </c>
      <c r="C438" s="79"/>
      <c r="D438" s="78">
        <f>B438+1</f>
        <v>13</v>
      </c>
      <c r="E438" s="79"/>
      <c r="F438" s="78">
        <f>D438+1</f>
        <v>14</v>
      </c>
      <c r="G438" s="79"/>
      <c r="H438" s="78">
        <f>F438+1</f>
        <v>15</v>
      </c>
      <c r="I438" s="79"/>
      <c r="J438" s="78">
        <f>H438+1</f>
        <v>16</v>
      </c>
      <c r="K438" s="79"/>
      <c r="L438" s="78">
        <f>J438+1</f>
        <v>17</v>
      </c>
      <c r="M438" s="79"/>
      <c r="N438" s="78">
        <f>L438+1</f>
        <v>18</v>
      </c>
      <c r="O438" s="79"/>
      <c r="P438" s="80"/>
    </row>
    <row r="439" spans="2:16" x14ac:dyDescent="0.25">
      <c r="B439" s="64" t="s">
        <v>42</v>
      </c>
      <c r="C439" s="81" t="s">
        <v>43</v>
      </c>
      <c r="D439" s="64" t="s">
        <v>42</v>
      </c>
      <c r="E439" s="81" t="s">
        <v>43</v>
      </c>
      <c r="F439" s="64" t="s">
        <v>42</v>
      </c>
      <c r="G439" s="81" t="s">
        <v>43</v>
      </c>
      <c r="H439" s="64" t="s">
        <v>42</v>
      </c>
      <c r="I439" s="81" t="s">
        <v>43</v>
      </c>
      <c r="J439" s="64" t="s">
        <v>42</v>
      </c>
      <c r="K439" s="81" t="s">
        <v>43</v>
      </c>
      <c r="L439" s="64" t="s">
        <v>42</v>
      </c>
      <c r="M439" s="81" t="s">
        <v>43</v>
      </c>
      <c r="N439" s="64" t="s">
        <v>42</v>
      </c>
      <c r="O439" s="82" t="s">
        <v>43</v>
      </c>
      <c r="P439" s="66"/>
    </row>
    <row r="440" spans="2:16" x14ac:dyDescent="0.25">
      <c r="B440" s="136" t="str">
        <f>IF(Tilmeldingsoversigt!$C$7="x",Morgenmad," ")</f>
        <v>Morgenmad</v>
      </c>
      <c r="C440" s="67">
        <f ca="1">IF(B440=Morgenmad,Tilmeldingsoversigt!$C$15," ")</f>
        <v>16.754098360655739</v>
      </c>
      <c r="D440" s="136" t="str">
        <f>IF(Tilmeldingsoversigt!$D$7="x",Morgenmad," ")</f>
        <v>Morgenmad</v>
      </c>
      <c r="E440" s="67">
        <f ca="1">IF(D440=Morgenmad,Tilmeldingsoversigt!$C$15," ")</f>
        <v>16.754098360655739</v>
      </c>
      <c r="F440" s="136" t="str">
        <f>IF(Tilmeldingsoversigt!$E$7="x",Morgenmad," ")</f>
        <v>Morgenmad</v>
      </c>
      <c r="G440" s="67">
        <f ca="1">IF(F440=Morgenmad,Tilmeldingsoversigt!$C$15," ")</f>
        <v>16.754098360655739</v>
      </c>
      <c r="H440" s="136" t="str">
        <f>IF(Tilmeldingsoversigt!$F$7="x",Morgenmad," ")</f>
        <v>Morgenmad</v>
      </c>
      <c r="I440" s="67">
        <f ca="1">IF(H440=Morgenmad,Tilmeldingsoversigt!$C$15," ")</f>
        <v>16.754098360655739</v>
      </c>
      <c r="J440" s="136" t="str">
        <f>IF(Tilmeldingsoversigt!$G$7="x",Morgenmad," ")</f>
        <v>Morgenmad</v>
      </c>
      <c r="K440" s="67">
        <f ca="1">IF(J440=Morgenmad,Tilmeldingsoversigt!$C$15," ")</f>
        <v>16.754098360655739</v>
      </c>
      <c r="L440" s="136" t="str">
        <f>IF(Tilmeldingsoversigt!$H$7="x",Morgenmad," ")</f>
        <v>Morgenmad</v>
      </c>
      <c r="M440" s="67">
        <f ca="1">IF(L440=Morgenmad,Tilmeldingsoversigt!$C$15," ")</f>
        <v>16.754098360655739</v>
      </c>
      <c r="N440" s="136" t="str">
        <f>IF(Tilmeldingsoversigt!$I$7="x",Morgenmad," ")</f>
        <v>Morgenmad</v>
      </c>
      <c r="O440" s="83">
        <f ca="1">IF(N440=Morgenmad,Tilmeldingsoversigt!$C$15," ")</f>
        <v>16.754098360655739</v>
      </c>
      <c r="P440" s="66"/>
    </row>
    <row r="441" spans="2:16" x14ac:dyDescent="0.25">
      <c r="B441" s="68" t="str">
        <f>IF(Tilmeldingsoversigt!$C$8="x",hovedret," ")</f>
        <v>Hovedret</v>
      </c>
      <c r="C441" s="69">
        <f ca="1">IF(B441=hovedret,Tilmeldingsoversigt!$C$16," ")</f>
        <v>55.016393442622949</v>
      </c>
      <c r="D441" s="68" t="str">
        <f>IF(Tilmeldingsoversigt!$D$8="x",hovedret," ")</f>
        <v>Hovedret</v>
      </c>
      <c r="E441" s="69">
        <f ca="1">IF(D441=hovedret,Tilmeldingsoversigt!$C$16," ")</f>
        <v>55.016393442622949</v>
      </c>
      <c r="F441" s="68" t="str">
        <f>IF(Tilmeldingsoversigt!$E$8="x",hovedret," ")</f>
        <v>Hovedret</v>
      </c>
      <c r="G441" s="69">
        <f ca="1">IF(F441=hovedret,Tilmeldingsoversigt!$C$16," ")</f>
        <v>55.016393442622949</v>
      </c>
      <c r="H441" s="68" t="str">
        <f>IF(Tilmeldingsoversigt!$F$8="x",hovedret," ")</f>
        <v>Hovedret</v>
      </c>
      <c r="I441" s="69">
        <f ca="1">IF(H441=hovedret,Tilmeldingsoversigt!$C$16," ")</f>
        <v>55.016393442622949</v>
      </c>
      <c r="J441" s="68" t="str">
        <f>IF(Tilmeldingsoversigt!$G$8="x",hovedret," ")</f>
        <v>Hovedret</v>
      </c>
      <c r="K441" s="69">
        <f ca="1">IF(J441=hovedret,Tilmeldingsoversigt!$C$16," ")</f>
        <v>55.016393442622949</v>
      </c>
      <c r="L441" s="68" t="str">
        <f>IF(Tilmeldingsoversigt!$H$8="x",hovedret," ")</f>
        <v>Hovedret</v>
      </c>
      <c r="M441" s="69">
        <f ca="1">IF(L441=hovedret,Tilmeldingsoversigt!$C$16," ")</f>
        <v>55.016393442622949</v>
      </c>
      <c r="N441" s="68" t="str">
        <f>IF(Tilmeldingsoversigt!$I$8="x",hovedret," ")</f>
        <v>Hovedret</v>
      </c>
      <c r="O441" s="70">
        <f ca="1">IF(N441=hovedret,Tilmeldingsoversigt!$C$16," ")</f>
        <v>55.016393442622949</v>
      </c>
      <c r="P441" s="66"/>
    </row>
    <row r="442" spans="2:16" x14ac:dyDescent="0.25">
      <c r="B442" s="68" t="str">
        <f>IF(Tilmeldingsoversigt!$C$9="x",Aftensmad," ")</f>
        <v>Aftensmad</v>
      </c>
      <c r="C442" s="69">
        <f ca="1">IF(B442=Aftensmad,Tilmeldingsoversigt!$C$17," ")</f>
        <v>27.540983606557376</v>
      </c>
      <c r="D442" s="68" t="str">
        <f>IF(Tilmeldingsoversigt!$D$9="x",Aftensmad," ")</f>
        <v>Aftensmad</v>
      </c>
      <c r="E442" s="69">
        <f ca="1">IF(D442=Aftensmad,Tilmeldingsoversigt!$C$17," ")</f>
        <v>27.540983606557376</v>
      </c>
      <c r="F442" s="68" t="str">
        <f>IF(Tilmeldingsoversigt!$E$9="x",Aftensmad," ")</f>
        <v>Aftensmad</v>
      </c>
      <c r="G442" s="69">
        <f ca="1">IF(F442=Aftensmad,Tilmeldingsoversigt!$C$17," ")</f>
        <v>27.540983606557376</v>
      </c>
      <c r="H442" s="68" t="str">
        <f>IF(Tilmeldingsoversigt!$F$9="x",Aftensmad," ")</f>
        <v>Aftensmad</v>
      </c>
      <c r="I442" s="69">
        <f ca="1">IF(H442=Aftensmad,Tilmeldingsoversigt!$C$17," ")</f>
        <v>27.540983606557376</v>
      </c>
      <c r="J442" s="68" t="str">
        <f>IF(Tilmeldingsoversigt!$G$9="x",Aftensmad," ")</f>
        <v>Aftensmad</v>
      </c>
      <c r="K442" s="69">
        <f ca="1">IF(J442=Aftensmad,Tilmeldingsoversigt!$C$17," ")</f>
        <v>27.540983606557376</v>
      </c>
      <c r="L442" s="68" t="str">
        <f>IF(Tilmeldingsoversigt!$H$9="x",Aftensmad," ")</f>
        <v>Aftensmad</v>
      </c>
      <c r="M442" s="69">
        <f ca="1">IF(L442=Aftensmad,Tilmeldingsoversigt!$C$17," ")</f>
        <v>27.540983606557376</v>
      </c>
      <c r="N442" s="68" t="str">
        <f>IF(Tilmeldingsoversigt!$I$9="x",Aftensmad," ")</f>
        <v>Aftensmad</v>
      </c>
      <c r="O442" s="70">
        <f ca="1">IF(N442=Aftensmad,Tilmeldingsoversigt!$C$17," ")</f>
        <v>27.540983606557376</v>
      </c>
      <c r="P442" s="66"/>
    </row>
    <row r="443" spans="2:16" x14ac:dyDescent="0.25">
      <c r="B443" s="68" t="str">
        <f>IF(Tilmeldingsoversigt!$C$10="x",biret," ")</f>
        <v>Biret</v>
      </c>
      <c r="C443" s="69">
        <f>IF(B443=biret,biretpris," ")</f>
        <v>0</v>
      </c>
      <c r="D443" s="68" t="str">
        <f>IF(Tilmeldingsoversigt!$D$10="x",biret," ")</f>
        <v>Biret</v>
      </c>
      <c r="E443" s="69">
        <f>IF(D443=biret,biretpris," ")</f>
        <v>0</v>
      </c>
      <c r="F443" s="68" t="str">
        <f>IF(Tilmeldingsoversigt!$E$10="x",biret," ")</f>
        <v>Biret</v>
      </c>
      <c r="G443" s="69">
        <f>IF(F443=biret,biretpris," ")</f>
        <v>0</v>
      </c>
      <c r="H443" s="68" t="str">
        <f>IF(Tilmeldingsoversigt!$F$10="x",biret," ")</f>
        <v>Biret</v>
      </c>
      <c r="I443" s="69">
        <f>IF(H443=biret,biretpris," ")</f>
        <v>0</v>
      </c>
      <c r="J443" s="68" t="str">
        <f>IF(Tilmeldingsoversigt!$G$10="x",biret," ")</f>
        <v>Biret</v>
      </c>
      <c r="K443" s="69">
        <f>IF(J443=biret,biretpris," ")</f>
        <v>0</v>
      </c>
      <c r="L443" s="68" t="str">
        <f>IF(Tilmeldingsoversigt!$H$10="x",biret," ")</f>
        <v>Biret</v>
      </c>
      <c r="M443" s="69">
        <f>IF(L443=biret,biretpris," ")</f>
        <v>0</v>
      </c>
      <c r="N443" s="68" t="str">
        <f>IF(Tilmeldingsoversigt!$I$10="x",biret," ")</f>
        <v>Biret</v>
      </c>
      <c r="O443" s="70">
        <f>IF(N443=biret,biretpris," ")</f>
        <v>0</v>
      </c>
      <c r="P443" s="66"/>
    </row>
    <row r="444" spans="2:16" x14ac:dyDescent="0.25">
      <c r="B444" s="71" t="str">
        <f>IF(Tilmeldingsoversigt!$C$11="x",mellemmåltid," ")</f>
        <v xml:space="preserve"> </v>
      </c>
      <c r="C444" s="72" t="str">
        <f>IF(B444=mellemmåltid,mellemmåltidspris," ")</f>
        <v xml:space="preserve"> </v>
      </c>
      <c r="D444" s="71" t="str">
        <f>IF(Tilmeldingsoversigt!$C$11="x",mellemmåltid," ")</f>
        <v xml:space="preserve"> </v>
      </c>
      <c r="E444" s="72" t="str">
        <f>IF(D444=mellemmåltid,mellemmåltidspris," ")</f>
        <v xml:space="preserve"> </v>
      </c>
      <c r="F444" s="71" t="str">
        <f>IF(Tilmeldingsoversigt!$C$11="x",mellemmåltid," ")</f>
        <v xml:space="preserve"> </v>
      </c>
      <c r="G444" s="72" t="str">
        <f>IF(F444=mellemmåltid,mellemmåltidspris," ")</f>
        <v xml:space="preserve"> </v>
      </c>
      <c r="H444" s="71" t="str">
        <f>IF(Tilmeldingsoversigt!$C$11="x",mellemmåltid," ")</f>
        <v xml:space="preserve"> </v>
      </c>
      <c r="I444" s="72" t="str">
        <f>IF(H444=mellemmåltid,mellemmåltidspris," ")</f>
        <v xml:space="preserve"> </v>
      </c>
      <c r="J444" s="71" t="str">
        <f>IF(Tilmeldingsoversigt!$C$11="x",mellemmåltid," ")</f>
        <v xml:space="preserve"> </v>
      </c>
      <c r="K444" s="72" t="str">
        <f>IF(J444=mellemmåltid,mellemmåltidspris," ")</f>
        <v xml:space="preserve"> </v>
      </c>
      <c r="L444" s="71" t="str">
        <f>IF(Tilmeldingsoversigt!$C$11="x",mellemmåltid," ")</f>
        <v xml:space="preserve"> </v>
      </c>
      <c r="M444" s="72" t="str">
        <f>IF(L444=mellemmåltid,mellemmåltidspris," ")</f>
        <v xml:space="preserve"> </v>
      </c>
      <c r="N444" s="71" t="str">
        <f>IF(Tilmeldingsoversigt!$C$11="x",mellemmåltid," ")</f>
        <v xml:space="preserve"> </v>
      </c>
      <c r="O444" s="73" t="str">
        <f>IF(N444=mellemmåltid,mellemmåltidspris," ")</f>
        <v xml:space="preserve"> </v>
      </c>
      <c r="P444" s="66"/>
    </row>
    <row r="445" spans="2:16" x14ac:dyDescent="0.25">
      <c r="B445" s="84" t="s">
        <v>44</v>
      </c>
      <c r="C445" s="11">
        <f ca="1">SUM(C440:C444)</f>
        <v>99.311475409836063</v>
      </c>
      <c r="D445" s="74"/>
      <c r="E445" s="11">
        <f ca="1">SUM(E440:E444)</f>
        <v>99.311475409836063</v>
      </c>
      <c r="F445" s="74"/>
      <c r="G445" s="11">
        <f ca="1">SUM(G440:G444)</f>
        <v>99.311475409836063</v>
      </c>
      <c r="H445" s="74"/>
      <c r="I445" s="11">
        <f ca="1">SUM(I440:I444)</f>
        <v>99.311475409836063</v>
      </c>
      <c r="J445" s="74"/>
      <c r="K445" s="11">
        <f ca="1">SUM(K440:K444)</f>
        <v>99.311475409836063</v>
      </c>
      <c r="L445" s="74"/>
      <c r="M445" s="11">
        <f ca="1">SUM(M440:M444)</f>
        <v>99.311475409836063</v>
      </c>
      <c r="N445" s="74"/>
      <c r="O445" s="12">
        <f ca="1">SUM(O440:O444)</f>
        <v>99.311475409836063</v>
      </c>
      <c r="P445" s="75">
        <f ca="1">SUM(C445,E445,G445,I445,K445,M445,O445)</f>
        <v>695.18032786885237</v>
      </c>
    </row>
    <row r="446" spans="2:16" x14ac:dyDescent="0.2">
      <c r="B446" s="76"/>
      <c r="C446" s="77"/>
      <c r="D446" s="77"/>
      <c r="E446" s="77"/>
      <c r="F446" s="77"/>
      <c r="G446" s="77"/>
      <c r="H446" s="77"/>
      <c r="I446" s="77"/>
      <c r="J446" s="77"/>
      <c r="K446" s="77"/>
      <c r="L446" s="77"/>
      <c r="M446" s="77"/>
      <c r="N446" s="77"/>
      <c r="O446" s="77"/>
      <c r="P446" s="76"/>
    </row>
    <row r="447" spans="2:16" ht="12.75" x14ac:dyDescent="0.25">
      <c r="B447" s="78">
        <f>N438+1</f>
        <v>19</v>
      </c>
      <c r="C447" s="79"/>
      <c r="D447" s="78">
        <f>B447+1</f>
        <v>20</v>
      </c>
      <c r="E447" s="79"/>
      <c r="F447" s="78">
        <f>D447+1</f>
        <v>21</v>
      </c>
      <c r="G447" s="79"/>
      <c r="H447" s="78">
        <f>F447+1</f>
        <v>22</v>
      </c>
      <c r="I447" s="79"/>
      <c r="J447" s="78">
        <f>H447+1</f>
        <v>23</v>
      </c>
      <c r="K447" s="79"/>
      <c r="L447" s="78">
        <f>J447+1</f>
        <v>24</v>
      </c>
      <c r="M447" s="79"/>
      <c r="N447" s="78">
        <f>L447+1</f>
        <v>25</v>
      </c>
      <c r="O447" s="79"/>
      <c r="P447" s="80"/>
    </row>
    <row r="448" spans="2:16" x14ac:dyDescent="0.25">
      <c r="B448" s="64" t="s">
        <v>42</v>
      </c>
      <c r="C448" s="81" t="s">
        <v>43</v>
      </c>
      <c r="D448" s="64" t="s">
        <v>42</v>
      </c>
      <c r="E448" s="81" t="s">
        <v>43</v>
      </c>
      <c r="F448" s="64" t="s">
        <v>42</v>
      </c>
      <c r="G448" s="81" t="s">
        <v>43</v>
      </c>
      <c r="H448" s="64" t="s">
        <v>42</v>
      </c>
      <c r="I448" s="81" t="s">
        <v>43</v>
      </c>
      <c r="J448" s="64" t="s">
        <v>42</v>
      </c>
      <c r="K448" s="81" t="s">
        <v>43</v>
      </c>
      <c r="L448" s="64" t="s">
        <v>42</v>
      </c>
      <c r="M448" s="81" t="s">
        <v>43</v>
      </c>
      <c r="N448" s="64" t="s">
        <v>42</v>
      </c>
      <c r="O448" s="82" t="s">
        <v>43</v>
      </c>
      <c r="P448" s="66"/>
    </row>
    <row r="449" spans="2:16" x14ac:dyDescent="0.25">
      <c r="B449" s="136" t="str">
        <f>IF(Tilmeldingsoversigt!$C$7="x",Morgenmad," ")</f>
        <v>Morgenmad</v>
      </c>
      <c r="C449" s="67">
        <f ca="1">IF(B449=Morgenmad,Tilmeldingsoversigt!$C$15," ")</f>
        <v>16.754098360655739</v>
      </c>
      <c r="D449" s="136" t="str">
        <f>IF(Tilmeldingsoversigt!$D$7="x",Morgenmad," ")</f>
        <v>Morgenmad</v>
      </c>
      <c r="E449" s="67">
        <f ca="1">IF(D449=Morgenmad,Tilmeldingsoversigt!$C$15," ")</f>
        <v>16.754098360655739</v>
      </c>
      <c r="F449" s="136" t="str">
        <f>IF(Tilmeldingsoversigt!$E$7="x",Morgenmad," ")</f>
        <v>Morgenmad</v>
      </c>
      <c r="G449" s="67">
        <f ca="1">IF(F449=Morgenmad,Tilmeldingsoversigt!$C$15," ")</f>
        <v>16.754098360655739</v>
      </c>
      <c r="H449" s="136" t="str">
        <f>IF(Tilmeldingsoversigt!$F$7="x",Morgenmad," ")</f>
        <v>Morgenmad</v>
      </c>
      <c r="I449" s="67">
        <f ca="1">IF(H449=Morgenmad,Tilmeldingsoversigt!$C$15," ")</f>
        <v>16.754098360655739</v>
      </c>
      <c r="J449" s="136" t="str">
        <f>IF(Tilmeldingsoversigt!$G$7="x",Morgenmad," ")</f>
        <v>Morgenmad</v>
      </c>
      <c r="K449" s="67">
        <f ca="1">IF(J449=Morgenmad,Tilmeldingsoversigt!$C$15," ")</f>
        <v>16.754098360655739</v>
      </c>
      <c r="L449" s="136" t="str">
        <f>IF(Tilmeldingsoversigt!$H$7="x",Morgenmad," ")</f>
        <v>Morgenmad</v>
      </c>
      <c r="M449" s="67">
        <f ca="1">IF(L449=Morgenmad,Tilmeldingsoversigt!$C$15," ")</f>
        <v>16.754098360655739</v>
      </c>
      <c r="N449" s="136" t="str">
        <f>IF(Tilmeldingsoversigt!$I$7="x",Morgenmad," ")</f>
        <v>Morgenmad</v>
      </c>
      <c r="O449" s="83">
        <f ca="1">IF(N449=Morgenmad,Tilmeldingsoversigt!$C$15," ")</f>
        <v>16.754098360655739</v>
      </c>
      <c r="P449" s="66"/>
    </row>
    <row r="450" spans="2:16" x14ac:dyDescent="0.25">
      <c r="B450" s="68" t="str">
        <f>IF(Tilmeldingsoversigt!$C$8="x",hovedret," ")</f>
        <v>Hovedret</v>
      </c>
      <c r="C450" s="69">
        <f ca="1">IF(B450=hovedret,Tilmeldingsoversigt!$C$16," ")</f>
        <v>55.016393442622949</v>
      </c>
      <c r="D450" s="68" t="str">
        <f>IF(Tilmeldingsoversigt!$D$8="x",hovedret," ")</f>
        <v>Hovedret</v>
      </c>
      <c r="E450" s="69">
        <f ca="1">IF(D450=hovedret,Tilmeldingsoversigt!$C$16," ")</f>
        <v>55.016393442622949</v>
      </c>
      <c r="F450" s="68" t="str">
        <f>IF(Tilmeldingsoversigt!$E$8="x",hovedret," ")</f>
        <v>Hovedret</v>
      </c>
      <c r="G450" s="69">
        <f ca="1">IF(F450=hovedret,Tilmeldingsoversigt!$C$16," ")</f>
        <v>55.016393442622949</v>
      </c>
      <c r="H450" s="68" t="str">
        <f>IF(Tilmeldingsoversigt!$F$8="x",hovedret," ")</f>
        <v>Hovedret</v>
      </c>
      <c r="I450" s="69">
        <f ca="1">IF(H450=hovedret,Tilmeldingsoversigt!$C$16," ")</f>
        <v>55.016393442622949</v>
      </c>
      <c r="J450" s="68" t="str">
        <f>IF(Tilmeldingsoversigt!$G$8="x",hovedret," ")</f>
        <v>Hovedret</v>
      </c>
      <c r="K450" s="69">
        <f ca="1">IF(J450=hovedret,Tilmeldingsoversigt!$C$16," ")</f>
        <v>55.016393442622949</v>
      </c>
      <c r="L450" s="68" t="str">
        <f>IF(Tilmeldingsoversigt!$H$8="x",hovedret," ")</f>
        <v>Hovedret</v>
      </c>
      <c r="M450" s="69">
        <f ca="1">IF(L450=hovedret,Tilmeldingsoversigt!$C$16," ")</f>
        <v>55.016393442622949</v>
      </c>
      <c r="N450" s="68" t="str">
        <f>IF(Tilmeldingsoversigt!$I$8="x",hovedret," ")</f>
        <v>Hovedret</v>
      </c>
      <c r="O450" s="70">
        <f ca="1">IF(N450=hovedret,Tilmeldingsoversigt!$C$16," ")</f>
        <v>55.016393442622949</v>
      </c>
      <c r="P450" s="66"/>
    </row>
    <row r="451" spans="2:16" x14ac:dyDescent="0.25">
      <c r="B451" s="68" t="str">
        <f>IF(Tilmeldingsoversigt!$C$9="x",Aftensmad," ")</f>
        <v>Aftensmad</v>
      </c>
      <c r="C451" s="69">
        <f ca="1">IF(B451=Aftensmad,Tilmeldingsoversigt!$C$17," ")</f>
        <v>27.540983606557376</v>
      </c>
      <c r="D451" s="68" t="str">
        <f>IF(Tilmeldingsoversigt!$D$9="x",Aftensmad," ")</f>
        <v>Aftensmad</v>
      </c>
      <c r="E451" s="69">
        <f ca="1">IF(D451=Aftensmad,Tilmeldingsoversigt!$C$17," ")</f>
        <v>27.540983606557376</v>
      </c>
      <c r="F451" s="68" t="str">
        <f>IF(Tilmeldingsoversigt!$E$9="x",Aftensmad," ")</f>
        <v>Aftensmad</v>
      </c>
      <c r="G451" s="69">
        <f ca="1">IF(F451=Aftensmad,Tilmeldingsoversigt!$C$17," ")</f>
        <v>27.540983606557376</v>
      </c>
      <c r="H451" s="68" t="str">
        <f>IF(Tilmeldingsoversigt!$F$9="x",Aftensmad," ")</f>
        <v>Aftensmad</v>
      </c>
      <c r="I451" s="69">
        <f ca="1">IF(H451=Aftensmad,Tilmeldingsoversigt!$C$17," ")</f>
        <v>27.540983606557376</v>
      </c>
      <c r="J451" s="68" t="str">
        <f>IF(Tilmeldingsoversigt!$G$9="x",Aftensmad," ")</f>
        <v>Aftensmad</v>
      </c>
      <c r="K451" s="69">
        <f ca="1">IF(J451=Aftensmad,Tilmeldingsoversigt!$C$17," ")</f>
        <v>27.540983606557376</v>
      </c>
      <c r="L451" s="68" t="str">
        <f>IF(Tilmeldingsoversigt!$H$9="x",Aftensmad," ")</f>
        <v>Aftensmad</v>
      </c>
      <c r="M451" s="69">
        <f ca="1">IF(L451=Aftensmad,Tilmeldingsoversigt!$C$17," ")</f>
        <v>27.540983606557376</v>
      </c>
      <c r="N451" s="68" t="str">
        <f>IF(Tilmeldingsoversigt!$I$9="x",Aftensmad," ")</f>
        <v>Aftensmad</v>
      </c>
      <c r="O451" s="70">
        <f ca="1">IF(N451=Aftensmad,Tilmeldingsoversigt!$C$17," ")</f>
        <v>27.540983606557376</v>
      </c>
      <c r="P451" s="66"/>
    </row>
    <row r="452" spans="2:16" x14ac:dyDescent="0.25">
      <c r="B452" s="68" t="str">
        <f>IF(Tilmeldingsoversigt!$C$10="x",biret," ")</f>
        <v>Biret</v>
      </c>
      <c r="C452" s="69">
        <f>IF(B452=biret,biretpris," ")</f>
        <v>0</v>
      </c>
      <c r="D452" s="68" t="str">
        <f>IF(Tilmeldingsoversigt!$D$10="x",biret," ")</f>
        <v>Biret</v>
      </c>
      <c r="E452" s="69">
        <f>IF(D452=biret,biretpris," ")</f>
        <v>0</v>
      </c>
      <c r="F452" s="68" t="str">
        <f>IF(Tilmeldingsoversigt!$E$10="x",biret," ")</f>
        <v>Biret</v>
      </c>
      <c r="G452" s="69">
        <f>IF(F452=biret,biretpris," ")</f>
        <v>0</v>
      </c>
      <c r="H452" s="68" t="str">
        <f>IF(Tilmeldingsoversigt!$F$10="x",biret," ")</f>
        <v>Biret</v>
      </c>
      <c r="I452" s="69">
        <f>IF(H452=biret,biretpris," ")</f>
        <v>0</v>
      </c>
      <c r="J452" s="68" t="str">
        <f>IF(Tilmeldingsoversigt!$G$10="x",biret," ")</f>
        <v>Biret</v>
      </c>
      <c r="K452" s="69">
        <f>IF(J452=biret,biretpris," ")</f>
        <v>0</v>
      </c>
      <c r="L452" s="68" t="str">
        <f>IF(Tilmeldingsoversigt!$H$10="x",biret," ")</f>
        <v>Biret</v>
      </c>
      <c r="M452" s="69">
        <f>IF(L452=biret,biretpris," ")</f>
        <v>0</v>
      </c>
      <c r="N452" s="68" t="str">
        <f>IF(Tilmeldingsoversigt!$I$10="x",biret," ")</f>
        <v>Biret</v>
      </c>
      <c r="O452" s="70">
        <f>IF(N452=biret,biretpris," ")</f>
        <v>0</v>
      </c>
      <c r="P452" s="66"/>
    </row>
    <row r="453" spans="2:16" x14ac:dyDescent="0.25">
      <c r="B453" s="71" t="str">
        <f>IF(Tilmeldingsoversigt!$C$11="x",mellemmåltid," ")</f>
        <v xml:space="preserve"> </v>
      </c>
      <c r="C453" s="72" t="str">
        <f>IF(B453=mellemmåltid,mellemmåltidspris," ")</f>
        <v xml:space="preserve"> </v>
      </c>
      <c r="D453" s="71" t="str">
        <f>IF(Tilmeldingsoversigt!$C$11="x",mellemmåltid," ")</f>
        <v xml:space="preserve"> </v>
      </c>
      <c r="E453" s="72" t="str">
        <f>IF(D453=mellemmåltid,mellemmåltidspris," ")</f>
        <v xml:space="preserve"> </v>
      </c>
      <c r="F453" s="71" t="str">
        <f>IF(Tilmeldingsoversigt!$C$11="x",mellemmåltid," ")</f>
        <v xml:space="preserve"> </v>
      </c>
      <c r="G453" s="72" t="str">
        <f>IF(F453=mellemmåltid,mellemmåltidspris," ")</f>
        <v xml:space="preserve"> </v>
      </c>
      <c r="H453" s="71" t="str">
        <f>IF(Tilmeldingsoversigt!$C$11="x",mellemmåltid," ")</f>
        <v xml:space="preserve"> </v>
      </c>
      <c r="I453" s="72" t="str">
        <f>IF(H453=mellemmåltid,mellemmåltidspris," ")</f>
        <v xml:space="preserve"> </v>
      </c>
      <c r="J453" s="71" t="str">
        <f>IF(Tilmeldingsoversigt!$C$11="x",mellemmåltid," ")</f>
        <v xml:space="preserve"> </v>
      </c>
      <c r="K453" s="72" t="str">
        <f>IF(J453=mellemmåltid,mellemmåltidspris," ")</f>
        <v xml:space="preserve"> </v>
      </c>
      <c r="L453" s="71" t="str">
        <f>IF(Tilmeldingsoversigt!$C$11="x",mellemmåltid," ")</f>
        <v xml:space="preserve"> </v>
      </c>
      <c r="M453" s="72" t="str">
        <f>IF(L453=mellemmåltid,mellemmåltidspris," ")</f>
        <v xml:space="preserve"> </v>
      </c>
      <c r="N453" s="71" t="str">
        <f>IF(Tilmeldingsoversigt!$C$11="x",mellemmåltid," ")</f>
        <v xml:space="preserve"> </v>
      </c>
      <c r="O453" s="73" t="str">
        <f>IF(N453=mellemmåltid,mellemmåltidspris," ")</f>
        <v xml:space="preserve"> </v>
      </c>
      <c r="P453" s="66"/>
    </row>
    <row r="454" spans="2:16" x14ac:dyDescent="0.25">
      <c r="B454" s="74" t="s">
        <v>44</v>
      </c>
      <c r="C454" s="11">
        <f ca="1">SUM(C449:C453)</f>
        <v>99.311475409836063</v>
      </c>
      <c r="D454" s="74"/>
      <c r="E454" s="11">
        <f ca="1">SUM(E449:E453)</f>
        <v>99.311475409836063</v>
      </c>
      <c r="F454" s="74"/>
      <c r="G454" s="11">
        <f ca="1">SUM(G449:G453)</f>
        <v>99.311475409836063</v>
      </c>
      <c r="H454" s="74"/>
      <c r="I454" s="11">
        <f ca="1">SUM(I449:I453)</f>
        <v>99.311475409836063</v>
      </c>
      <c r="J454" s="74"/>
      <c r="K454" s="11">
        <f ca="1">SUM(K449:K453)</f>
        <v>99.311475409836063</v>
      </c>
      <c r="L454" s="74"/>
      <c r="M454" s="11">
        <f ca="1">SUM(M449:M453)</f>
        <v>99.311475409836063</v>
      </c>
      <c r="N454" s="74"/>
      <c r="O454" s="12">
        <f ca="1">SUM(O449:O453)</f>
        <v>99.311475409836063</v>
      </c>
      <c r="P454" s="75">
        <f ca="1">SUM(C454,E454,G454,I454,K454,M454,O454)</f>
        <v>695.18032786885237</v>
      </c>
    </row>
    <row r="455" spans="2:16" x14ac:dyDescent="0.2">
      <c r="B455" s="76"/>
      <c r="C455" s="77"/>
      <c r="D455" s="77"/>
      <c r="E455" s="77"/>
      <c r="F455" s="77"/>
      <c r="G455" s="77"/>
      <c r="H455" s="77"/>
      <c r="I455" s="77"/>
      <c r="J455" s="77"/>
      <c r="K455" s="77"/>
      <c r="L455" s="77"/>
      <c r="M455" s="77"/>
      <c r="N455" s="77"/>
      <c r="O455" s="77"/>
      <c r="P455" s="76"/>
    </row>
    <row r="456" spans="2:16" ht="12.75" x14ac:dyDescent="0.25">
      <c r="B456" s="78">
        <f>DAY(IF(DAY(AugSøn1)=1,AugSøn1+22,AugSøn1+29))</f>
        <v>26</v>
      </c>
      <c r="C456" s="79"/>
      <c r="D456" s="78">
        <f>DAY(IF(DAY(AugSøn1)=1,AugSøn1+23,AugSøn1+30))</f>
        <v>27</v>
      </c>
      <c r="E456" s="79"/>
      <c r="F456" s="78">
        <f>DAY(IF(DAY(AugSøn1)=1,AugSøn1+24,AugSøn1+31))</f>
        <v>28</v>
      </c>
      <c r="G456" s="79"/>
      <c r="H456" s="78">
        <f>DAY(IF(DAY(AugSøn1)=1,AugSøn1+25,AugSøn1+32))</f>
        <v>29</v>
      </c>
      <c r="I456" s="79"/>
      <c r="J456" s="78">
        <f>DAY(IF(DAY(AugSøn1)=1,AugSøn1+26,AugSøn1+33))</f>
        <v>30</v>
      </c>
      <c r="K456" s="79"/>
      <c r="L456" s="78">
        <f>DAY(IF(DAY(AugSøn1)=1,AugSøn1+27,AugSøn1+34))</f>
        <v>31</v>
      </c>
      <c r="M456" s="79"/>
      <c r="N456" s="78">
        <f>DAY(IF(DAY(AugSøn1)=1,AugSøn1+28,AugSøn1+35))</f>
        <v>1</v>
      </c>
      <c r="O456" s="79"/>
      <c r="P456" s="85"/>
    </row>
    <row r="457" spans="2:16" x14ac:dyDescent="0.25">
      <c r="B457" s="64" t="s">
        <v>42</v>
      </c>
      <c r="C457" s="81" t="s">
        <v>43</v>
      </c>
      <c r="D457" s="64" t="s">
        <v>42</v>
      </c>
      <c r="E457" s="81" t="s">
        <v>43</v>
      </c>
      <c r="F457" s="64" t="s">
        <v>42</v>
      </c>
      <c r="G457" s="81" t="s">
        <v>43</v>
      </c>
      <c r="H457" s="64" t="s">
        <v>42</v>
      </c>
      <c r="I457" s="81" t="s">
        <v>43</v>
      </c>
      <c r="J457" s="64" t="s">
        <v>42</v>
      </c>
      <c r="K457" s="81" t="s">
        <v>43</v>
      </c>
      <c r="L457" s="64" t="s">
        <v>42</v>
      </c>
      <c r="M457" s="81" t="s">
        <v>43</v>
      </c>
      <c r="N457" s="64" t="s">
        <v>42</v>
      </c>
      <c r="O457" s="82" t="s">
        <v>43</v>
      </c>
      <c r="P457" s="66"/>
    </row>
    <row r="458" spans="2:16" x14ac:dyDescent="0.25">
      <c r="B458" s="136" t="str">
        <f>IF(Tilmeldingsoversigt!$C$7="x",Morgenmad," ")</f>
        <v>Morgenmad</v>
      </c>
      <c r="C458" s="67">
        <f ca="1">IF(B458=Morgenmad,Tilmeldingsoversigt!$C$15," ")</f>
        <v>16.754098360655739</v>
      </c>
      <c r="D458" s="136" t="str">
        <f>IF(Tilmeldingsoversigt!$D$7="x",Morgenmad," ")</f>
        <v>Morgenmad</v>
      </c>
      <c r="E458" s="67">
        <f ca="1">IF(D458=Morgenmad,Tilmeldingsoversigt!$C$15," ")</f>
        <v>16.754098360655739</v>
      </c>
      <c r="F458" s="136" t="str">
        <f>IF(Tilmeldingsoversigt!$E$7="x",Morgenmad," ")</f>
        <v>Morgenmad</v>
      </c>
      <c r="G458" s="67">
        <f ca="1">IF(F458=Morgenmad,Tilmeldingsoversigt!$C$15," ")</f>
        <v>16.754098360655739</v>
      </c>
      <c r="H458" s="136"/>
      <c r="I458" s="67"/>
      <c r="J458" s="136"/>
      <c r="K458" s="67"/>
      <c r="L458" s="136"/>
      <c r="M458" s="67"/>
      <c r="N458" s="139"/>
      <c r="O458" s="86"/>
      <c r="P458" s="66"/>
    </row>
    <row r="459" spans="2:16" x14ac:dyDescent="0.25">
      <c r="B459" s="68" t="str">
        <f>IF(Tilmeldingsoversigt!$C$8="x",hovedret," ")</f>
        <v>Hovedret</v>
      </c>
      <c r="C459" s="69">
        <f ca="1">IF(B459=hovedret,Tilmeldingsoversigt!$C$16," ")</f>
        <v>55.016393442622949</v>
      </c>
      <c r="D459" s="68" t="str">
        <f>IF(Tilmeldingsoversigt!$D$8="x",hovedret," ")</f>
        <v>Hovedret</v>
      </c>
      <c r="E459" s="69">
        <f ca="1">IF(D459=hovedret,Tilmeldingsoversigt!$C$16," ")</f>
        <v>55.016393442622949</v>
      </c>
      <c r="F459" s="68" t="str">
        <f>IF(Tilmeldingsoversigt!$E$8="x",hovedret," ")</f>
        <v>Hovedret</v>
      </c>
      <c r="G459" s="69">
        <f ca="1">IF(F459=hovedret,Tilmeldingsoversigt!$C$16," ")</f>
        <v>55.016393442622949</v>
      </c>
      <c r="H459" s="68"/>
      <c r="I459" s="69"/>
      <c r="J459" s="68"/>
      <c r="K459" s="69"/>
      <c r="L459" s="68"/>
      <c r="M459" s="69"/>
      <c r="N459" s="87"/>
      <c r="O459" s="88"/>
      <c r="P459" s="66"/>
    </row>
    <row r="460" spans="2:16" x14ac:dyDescent="0.25">
      <c r="B460" s="68" t="str">
        <f>IF(Tilmeldingsoversigt!$C$9="x",Aftensmad," ")</f>
        <v>Aftensmad</v>
      </c>
      <c r="C460" s="69">
        <f ca="1">IF(B460=Aftensmad,Tilmeldingsoversigt!$C$17," ")</f>
        <v>27.540983606557376</v>
      </c>
      <c r="D460" s="68" t="str">
        <f>IF(Tilmeldingsoversigt!$D$9="x",Aftensmad," ")</f>
        <v>Aftensmad</v>
      </c>
      <c r="E460" s="69">
        <f ca="1">IF(D460=Aftensmad,Tilmeldingsoversigt!$C$17," ")</f>
        <v>27.540983606557376</v>
      </c>
      <c r="F460" s="68" t="str">
        <f>IF(Tilmeldingsoversigt!$E$9="x",Aftensmad," ")</f>
        <v>Aftensmad</v>
      </c>
      <c r="G460" s="69">
        <f ca="1">IF(F460=Aftensmad,Tilmeldingsoversigt!$C$17," ")</f>
        <v>27.540983606557376</v>
      </c>
      <c r="H460" s="68"/>
      <c r="I460" s="69"/>
      <c r="J460" s="68"/>
      <c r="K460" s="69"/>
      <c r="L460" s="68"/>
      <c r="M460" s="69"/>
      <c r="N460" s="87"/>
      <c r="O460" s="88"/>
      <c r="P460" s="66"/>
    </row>
    <row r="461" spans="2:16" x14ac:dyDescent="0.25">
      <c r="B461" s="68" t="str">
        <f>IF(Tilmeldingsoversigt!$C$10="x",biret," ")</f>
        <v>Biret</v>
      </c>
      <c r="C461" s="69">
        <f>IF(B461=biret,biretpris," ")</f>
        <v>0</v>
      </c>
      <c r="D461" s="68" t="str">
        <f>IF(Tilmeldingsoversigt!$D$10="x",biret," ")</f>
        <v>Biret</v>
      </c>
      <c r="E461" s="69">
        <f>IF(D461=biret,biretpris," ")</f>
        <v>0</v>
      </c>
      <c r="F461" s="68" t="str">
        <f>IF(Tilmeldingsoversigt!$E$10="x",biret," ")</f>
        <v>Biret</v>
      </c>
      <c r="G461" s="69">
        <f>IF(F461=biret,biretpris," ")</f>
        <v>0</v>
      </c>
      <c r="H461" s="68"/>
      <c r="I461" s="69"/>
      <c r="J461" s="68"/>
      <c r="K461" s="69"/>
      <c r="L461" s="68"/>
      <c r="M461" s="69"/>
      <c r="N461" s="68"/>
      <c r="O461" s="70"/>
      <c r="P461" s="66"/>
    </row>
    <row r="462" spans="2:16" x14ac:dyDescent="0.25">
      <c r="B462" s="71" t="str">
        <f>IF(Tilmeldingsoversigt!$C$11="x",mellemmåltid," ")</f>
        <v xml:space="preserve"> </v>
      </c>
      <c r="C462" s="72" t="str">
        <f>IF(B462=mellemmåltid,mellemmåltidspris," ")</f>
        <v xml:space="preserve"> </v>
      </c>
      <c r="D462" s="71" t="str">
        <f>IF(Tilmeldingsoversigt!$C$11="x",mellemmåltid," ")</f>
        <v xml:space="preserve"> </v>
      </c>
      <c r="E462" s="72" t="str">
        <f>IF(D462=mellemmåltid,mellemmåltidspris," ")</f>
        <v xml:space="preserve"> </v>
      </c>
      <c r="F462" s="71" t="str">
        <f>IF(Tilmeldingsoversigt!$C$11="x",mellemmåltid," ")</f>
        <v xml:space="preserve"> </v>
      </c>
      <c r="G462" s="72" t="str">
        <f>IF(F462=mellemmåltid,mellemmåltidspris," ")</f>
        <v xml:space="preserve"> </v>
      </c>
      <c r="H462" s="71"/>
      <c r="I462" s="72"/>
      <c r="J462" s="71"/>
      <c r="K462" s="72"/>
      <c r="L462" s="71"/>
      <c r="M462" s="72"/>
      <c r="N462" s="71"/>
      <c r="O462" s="73"/>
      <c r="P462" s="66"/>
    </row>
    <row r="463" spans="2:16" x14ac:dyDescent="0.25">
      <c r="B463" s="74" t="s">
        <v>44</v>
      </c>
      <c r="C463" s="11">
        <f ca="1">SUM(C458:C462)</f>
        <v>99.311475409836063</v>
      </c>
      <c r="D463" s="74"/>
      <c r="E463" s="11">
        <f ca="1">SUM(E458:E462)</f>
        <v>99.311475409836063</v>
      </c>
      <c r="F463" s="74"/>
      <c r="G463" s="11">
        <f ca="1">SUM(G458:G462)</f>
        <v>99.311475409836063</v>
      </c>
      <c r="H463" s="74"/>
      <c r="I463" s="11">
        <f>SUM(I458:I462)</f>
        <v>0</v>
      </c>
      <c r="J463" s="74"/>
      <c r="K463" s="11">
        <f>SUM(K458:K462)</f>
        <v>0</v>
      </c>
      <c r="L463" s="74"/>
      <c r="M463" s="11">
        <f>SUM(M458:M462)</f>
        <v>0</v>
      </c>
      <c r="N463" s="74"/>
      <c r="O463" s="12">
        <f>SUM(O458:O462)</f>
        <v>0</v>
      </c>
      <c r="P463" s="75">
        <f ca="1">SUMIF(B456:N456,"&gt;="&amp;15,C463:O463)</f>
        <v>297.93442622950818</v>
      </c>
    </row>
    <row r="464" spans="2:16" x14ac:dyDescent="0.2">
      <c r="B464" s="76"/>
      <c r="C464" s="77"/>
      <c r="D464" s="77"/>
      <c r="E464" s="77"/>
      <c r="F464" s="77"/>
      <c r="G464" s="77"/>
      <c r="H464" s="77"/>
      <c r="I464" s="77"/>
      <c r="J464" s="77"/>
      <c r="K464" s="77"/>
      <c r="L464" s="77"/>
      <c r="M464" s="77"/>
      <c r="N464" s="77"/>
      <c r="O464" s="77"/>
      <c r="P464" s="76"/>
    </row>
    <row r="465" spans="2:16" ht="12.75" x14ac:dyDescent="0.25">
      <c r="B465" s="78">
        <f>DAY(IF(DAY(AugSøn1)=1,AugSøn1+29,AugSøn1+36))</f>
        <v>2</v>
      </c>
      <c r="C465" s="91"/>
      <c r="D465" s="78">
        <f>DAY(IF(DAY(AugSøn1)=1,AugSøn1+30,AugSøn1+37))</f>
        <v>3</v>
      </c>
      <c r="E465" s="79"/>
      <c r="F465" s="92">
        <f>DAY(IF(DAY(AugSøn1)=1,AugSøn1+31,AugSøn1+38))</f>
        <v>4</v>
      </c>
      <c r="G465" s="79"/>
      <c r="H465" s="78">
        <f>DAY(IF(DAY(AugSøn1)=1,AugSøn1+32,AugSøn1+39))</f>
        <v>5</v>
      </c>
      <c r="I465" s="79"/>
      <c r="J465" s="78">
        <f>DAY(IF(DAY(AugSøn1)=1,AugSøn1+33,AugSøn1+40))</f>
        <v>6</v>
      </c>
      <c r="K465" s="79"/>
      <c r="L465" s="78">
        <f>DAY(IF(DAY(AugSøn1)=1,AugSøn1+34,AugSøn1+41))</f>
        <v>7</v>
      </c>
      <c r="M465" s="79"/>
      <c r="N465" s="78">
        <f>DAY(IF(DAY(AugSøn1)=1,AugSøn1+35,AugSøn1+42))</f>
        <v>8</v>
      </c>
      <c r="O465" s="79"/>
      <c r="P465" s="85"/>
    </row>
    <row r="466" spans="2:16" x14ac:dyDescent="0.25">
      <c r="B466" s="64" t="s">
        <v>42</v>
      </c>
      <c r="C466" s="81" t="s">
        <v>43</v>
      </c>
      <c r="D466" s="64" t="s">
        <v>42</v>
      </c>
      <c r="E466" s="81" t="s">
        <v>43</v>
      </c>
      <c r="F466" s="64" t="s">
        <v>42</v>
      </c>
      <c r="G466" s="81" t="s">
        <v>43</v>
      </c>
      <c r="H466" s="64" t="s">
        <v>42</v>
      </c>
      <c r="I466" s="81" t="s">
        <v>43</v>
      </c>
      <c r="J466" s="64" t="s">
        <v>42</v>
      </c>
      <c r="K466" s="81" t="s">
        <v>43</v>
      </c>
      <c r="L466" s="64" t="s">
        <v>42</v>
      </c>
      <c r="M466" s="81" t="s">
        <v>43</v>
      </c>
      <c r="N466" s="64" t="s">
        <v>42</v>
      </c>
      <c r="O466" s="82" t="s">
        <v>43</v>
      </c>
      <c r="P466" s="66"/>
    </row>
    <row r="467" spans="2:16" x14ac:dyDescent="0.25">
      <c r="B467" s="136"/>
      <c r="C467" s="67"/>
      <c r="D467" s="136"/>
      <c r="E467" s="67"/>
      <c r="F467" s="136"/>
      <c r="G467" s="67"/>
      <c r="H467" s="136"/>
      <c r="I467" s="67"/>
      <c r="J467" s="136"/>
      <c r="K467" s="67"/>
      <c r="L467" s="136"/>
      <c r="M467" s="67"/>
      <c r="N467" s="136"/>
      <c r="O467" s="83" t="str">
        <f>IF(N467=Morgenmad,Tilmeldingsoversigt!$C$15," ")</f>
        <v xml:space="preserve"> </v>
      </c>
      <c r="P467" s="66"/>
    </row>
    <row r="468" spans="2:16" x14ac:dyDescent="0.25">
      <c r="B468" s="68"/>
      <c r="C468" s="69"/>
      <c r="D468" s="68"/>
      <c r="E468" s="69"/>
      <c r="F468" s="68"/>
      <c r="G468" s="69"/>
      <c r="H468" s="68"/>
      <c r="I468" s="69"/>
      <c r="J468" s="68"/>
      <c r="K468" s="69"/>
      <c r="L468" s="68"/>
      <c r="M468" s="69"/>
      <c r="N468" s="68"/>
      <c r="O468" s="70" t="str">
        <f>IF(N468=hovedret,Tilmeldingsoversigt!$C$16," ")</f>
        <v xml:space="preserve"> </v>
      </c>
      <c r="P468" s="66"/>
    </row>
    <row r="469" spans="2:16" x14ac:dyDescent="0.25">
      <c r="B469" s="68"/>
      <c r="C469" s="69"/>
      <c r="D469" s="68"/>
      <c r="E469" s="69"/>
      <c r="F469" s="68"/>
      <c r="G469" s="69"/>
      <c r="H469" s="68"/>
      <c r="I469" s="69"/>
      <c r="J469" s="68"/>
      <c r="K469" s="69"/>
      <c r="L469" s="68"/>
      <c r="M469" s="69"/>
      <c r="N469" s="68"/>
      <c r="O469" s="70" t="str">
        <f>IF(N469=Aftensmad,Tilmeldingsoversigt!$C$17," ")</f>
        <v xml:space="preserve"> </v>
      </c>
      <c r="P469" s="66"/>
    </row>
    <row r="470" spans="2:16" x14ac:dyDescent="0.25">
      <c r="B470" s="68"/>
      <c r="C470" s="69"/>
      <c r="D470" s="68"/>
      <c r="E470" s="69"/>
      <c r="F470" s="68"/>
      <c r="G470" s="69"/>
      <c r="H470" s="68"/>
      <c r="I470" s="69"/>
      <c r="J470" s="68"/>
      <c r="K470" s="69"/>
      <c r="L470" s="68"/>
      <c r="M470" s="69"/>
      <c r="N470" s="68"/>
      <c r="O470" s="70"/>
      <c r="P470" s="66"/>
    </row>
    <row r="471" spans="2:16" x14ac:dyDescent="0.25">
      <c r="B471" s="71"/>
      <c r="C471" s="72"/>
      <c r="D471" s="71"/>
      <c r="E471" s="72"/>
      <c r="F471" s="71"/>
      <c r="G471" s="72"/>
      <c r="H471" s="71"/>
      <c r="I471" s="72"/>
      <c r="J471" s="71"/>
      <c r="K471" s="72"/>
      <c r="L471" s="71"/>
      <c r="M471" s="72"/>
      <c r="N471" s="71"/>
      <c r="O471" s="73"/>
      <c r="P471" s="66"/>
    </row>
    <row r="472" spans="2:16" x14ac:dyDescent="0.25">
      <c r="B472" s="74" t="s">
        <v>44</v>
      </c>
      <c r="C472" s="11">
        <f>SUM(C467:C471)</f>
        <v>0</v>
      </c>
      <c r="D472" s="74"/>
      <c r="E472" s="11">
        <f>SUM(E467:E471)</f>
        <v>0</v>
      </c>
      <c r="F472" s="74"/>
      <c r="G472" s="11">
        <f>SUM(G467:G471)</f>
        <v>0</v>
      </c>
      <c r="H472" s="74"/>
      <c r="I472" s="11">
        <f>SUM(I467:I471)</f>
        <v>0</v>
      </c>
      <c r="J472" s="74"/>
      <c r="K472" s="11">
        <f>SUM(K467:K471)</f>
        <v>0</v>
      </c>
      <c r="L472" s="74"/>
      <c r="M472" s="11">
        <f>SUM(M467:M471)</f>
        <v>0</v>
      </c>
      <c r="N472" s="74"/>
      <c r="O472" s="12">
        <f>SUM(O467:O471)</f>
        <v>0</v>
      </c>
      <c r="P472" s="75">
        <f>SUMIF(B465:N465,"&gt;="&amp;15,C472:O472)</f>
        <v>0</v>
      </c>
    </row>
    <row r="473" spans="2:16" ht="17.25" customHeight="1" x14ac:dyDescent="0.2"/>
    <row r="474" spans="2:16" ht="15" x14ac:dyDescent="0.25">
      <c r="B474" s="246" t="s">
        <v>52</v>
      </c>
      <c r="C474" s="246"/>
      <c r="D474" s="246"/>
      <c r="E474" s="246"/>
      <c r="F474" s="51" t="s">
        <v>82</v>
      </c>
      <c r="G474" s="51"/>
      <c r="H474" s="51"/>
      <c r="I474" s="51"/>
      <c r="J474" s="51"/>
      <c r="K474" s="51"/>
      <c r="L474" s="247" t="s">
        <v>83</v>
      </c>
      <c r="M474" s="247"/>
      <c r="N474" s="247" t="s">
        <v>85</v>
      </c>
      <c r="O474" s="247"/>
      <c r="P474" s="49"/>
    </row>
    <row r="475" spans="2:16" ht="25.5" customHeight="1" x14ac:dyDescent="0.25">
      <c r="B475" s="246"/>
      <c r="C475" s="246"/>
      <c r="D475" s="246"/>
      <c r="E475" s="246"/>
      <c r="F475" s="97" t="str">
        <f>Morgenmad</f>
        <v>Morgenmad</v>
      </c>
      <c r="G475" s="97">
        <f ca="1">IF(september_sum=0,0,(COUNTIF($B$481:$O$530,F475)-'Tilmeldte måltider'!G482))</f>
        <v>0</v>
      </c>
      <c r="H475" s="97" t="str">
        <f>hovedret</f>
        <v>Hovedret</v>
      </c>
      <c r="I475" s="97">
        <f ca="1">IF(september_sum=0,0,(COUNTIF(B480:O529,hovedret)-'Tilmeldte måltider'!I482))</f>
        <v>0</v>
      </c>
      <c r="J475" s="97" t="str">
        <f>Aftensmad</f>
        <v>Aftensmad</v>
      </c>
      <c r="K475" s="97">
        <f ca="1">IF(september_sum=0,0,(COUNTIF(B480:O529,Aftensmad)-'Tilmeldte måltider'!K482))</f>
        <v>0</v>
      </c>
      <c r="L475" s="268" t="e">
        <f ca="1">(G475*Morgenpris)+(I475*Frokostpris)+(K475*Aftenpris)+(G476*biretpris)+(I476*mellemmåltidspris)+(M476*gæstehpris)+(O476*gæstebpris)</f>
        <v>#VALUE!</v>
      </c>
      <c r="M475" s="269"/>
      <c r="N475" s="270" t="e">
        <f ca="1">$L$357+$L$416+$L$475+$L$534+$L$593+$L$652</f>
        <v>#VALUE!</v>
      </c>
      <c r="O475" s="271"/>
      <c r="P475" s="49"/>
    </row>
    <row r="476" spans="2:16" ht="25.5" customHeight="1" x14ac:dyDescent="0.45">
      <c r="B476" s="121"/>
      <c r="C476" s="121"/>
      <c r="D476" s="121"/>
      <c r="E476" s="121"/>
      <c r="F476" s="98" t="str">
        <f>biret</f>
        <v>Biret</v>
      </c>
      <c r="G476" s="97">
        <f ca="1">IF(september_sum=0,0,(COUNTIF($B$481:$O$530,F476)-'Tilmeldte måltider'!G483))</f>
        <v>0</v>
      </c>
      <c r="H476" s="98" t="str">
        <f>mellemmåltid</f>
        <v>Mellemmåltid</v>
      </c>
      <c r="I476" s="97">
        <f ca="1">IF(september_sum=0,0,(COUNTIF($B$481:$O$530,H476)-'Tilmeldte måltider'!I483))</f>
        <v>0</v>
      </c>
      <c r="J476" s="140" t="s">
        <v>105</v>
      </c>
      <c r="K476" s="140"/>
      <c r="L476" s="141" t="s">
        <v>25</v>
      </c>
      <c r="M476" s="100"/>
      <c r="N476" s="141" t="s">
        <v>15</v>
      </c>
      <c r="O476" s="100"/>
      <c r="P476" s="49"/>
    </row>
    <row r="477" spans="2:16" ht="9" customHeight="1" x14ac:dyDescent="0.2">
      <c r="B477" s="251">
        <v>1</v>
      </c>
      <c r="C477" s="251"/>
      <c r="D477" s="251">
        <v>2</v>
      </c>
      <c r="E477" s="251"/>
      <c r="F477" s="251">
        <v>3</v>
      </c>
      <c r="G477" s="251"/>
      <c r="H477" s="251">
        <v>4</v>
      </c>
      <c r="I477" s="251"/>
      <c r="J477" s="251">
        <v>5</v>
      </c>
      <c r="K477" s="251"/>
      <c r="L477" s="251">
        <v>6</v>
      </c>
      <c r="M477" s="251"/>
      <c r="N477" s="251">
        <v>7</v>
      </c>
      <c r="O477" s="251"/>
      <c r="P477" s="50"/>
    </row>
    <row r="478" spans="2:16" ht="15" customHeight="1" x14ac:dyDescent="0.25">
      <c r="B478" s="252" t="s">
        <v>34</v>
      </c>
      <c r="C478" s="253"/>
      <c r="D478" s="254" t="s">
        <v>35</v>
      </c>
      <c r="E478" s="255" t="e">
        <f>IF(WEEKDAY(DATEVALUE(Month1&amp;" 1, "&amp;Year1))=COLUMN(#REF!),1,IF(LEN(C478)&gt;0,C478+1,""))</f>
        <v>#NAME?</v>
      </c>
      <c r="F478" s="253" t="s">
        <v>36</v>
      </c>
      <c r="G478" s="253" t="e">
        <f>IF(WEEKDAY(DATEVALUE(Month1&amp;" 1, "&amp;Year1))=COLUMN(#REF!),1,IF(LEN(E478)&gt;0,E478+1,""))</f>
        <v>#NAME?</v>
      </c>
      <c r="H478" s="254" t="s">
        <v>37</v>
      </c>
      <c r="I478" s="255" t="e">
        <f>IF(WEEKDAY(DATEVALUE(Month1&amp;" 1, "&amp;Year1))=COLUMN(#REF!),1,IF(LEN(G478)&gt;0,G478+1,""))</f>
        <v>#NAME?</v>
      </c>
      <c r="J478" s="256" t="s">
        <v>38</v>
      </c>
      <c r="K478" s="257" t="e">
        <f>IF(WEEKDAY(DATEVALUE(Month1&amp;" 1, "&amp;Year1))=COLUMN(#REF!),1,IF(LEN(I478)&gt;0,I478+1,""))</f>
        <v>#NAME?</v>
      </c>
      <c r="L478" s="258" t="s">
        <v>39</v>
      </c>
      <c r="M478" s="259" t="e">
        <f>IF(WEEKDAY(DATEVALUE(Month1&amp;" 1, "&amp;Year1))=COLUMN(#REF!),1,IF(LEN(K478)&gt;0,K478+1,""))</f>
        <v>#NAME?</v>
      </c>
      <c r="N478" s="258" t="s">
        <v>40</v>
      </c>
      <c r="O478" s="259" t="e">
        <f>IF(WEEKDAY(DATEVALUE(Month1&amp;" 1, "&amp;Year1))=COLUMN(#REF!),1,IF(LEN(M478)&gt;0,M478+1,""))</f>
        <v>#NAME?</v>
      </c>
      <c r="P478" s="53" t="s">
        <v>41</v>
      </c>
    </row>
    <row r="479" spans="2:16" ht="12.75" x14ac:dyDescent="0.25">
      <c r="B479" s="55">
        <f>DAY(IF(DAY(SepSøn1)=1,SepSøn1-6,SepSøn1+1))</f>
        <v>26</v>
      </c>
      <c r="C479" s="56"/>
      <c r="D479" s="57">
        <f>DAY(IF(DAY(SepSøn1)=1,SepSøn1-5,SepSøn1+2))</f>
        <v>27</v>
      </c>
      <c r="E479" s="56"/>
      <c r="F479" s="57">
        <f>DAY(IF(DAY(SepSøn1)=1,SepSøn1-4,SepSøn1+3))</f>
        <v>28</v>
      </c>
      <c r="G479" s="56"/>
      <c r="H479" s="57">
        <f>DAY(IF(DAY(SepSøn1)=1,SepSøn1-3,SepSøn1+4))</f>
        <v>29</v>
      </c>
      <c r="I479" s="56"/>
      <c r="J479" s="57">
        <f>DAY(IF(DAY(SepSøn1)=1,SepSøn1-2,SepSøn1+5))</f>
        <v>30</v>
      </c>
      <c r="K479" s="56"/>
      <c r="L479" s="57">
        <f>DAY(IF(DAY(SepSøn1)=1,SepSøn1-1,SepSøn1+6))</f>
        <v>31</v>
      </c>
      <c r="M479" s="56"/>
      <c r="N479" s="58">
        <f>DAY(IF(DAY(SepSøn1)=1,SepSøn1,SepSøn1+7))</f>
        <v>1</v>
      </c>
      <c r="O479" s="59"/>
      <c r="P479" s="60"/>
    </row>
    <row r="480" spans="2:16" x14ac:dyDescent="0.25">
      <c r="B480" s="61" t="s">
        <v>42</v>
      </c>
      <c r="C480" s="62" t="s">
        <v>43</v>
      </c>
      <c r="D480" s="63" t="s">
        <v>42</v>
      </c>
      <c r="E480" s="62" t="s">
        <v>43</v>
      </c>
      <c r="F480" s="63" t="s">
        <v>42</v>
      </c>
      <c r="G480" s="62" t="s">
        <v>43</v>
      </c>
      <c r="H480" s="63" t="s">
        <v>42</v>
      </c>
      <c r="I480" s="62" t="s">
        <v>43</v>
      </c>
      <c r="J480" s="63" t="s">
        <v>42</v>
      </c>
      <c r="K480" s="62" t="s">
        <v>43</v>
      </c>
      <c r="L480" s="63" t="s">
        <v>42</v>
      </c>
      <c r="M480" s="62" t="s">
        <v>43</v>
      </c>
      <c r="N480" s="64" t="s">
        <v>42</v>
      </c>
      <c r="O480" s="65" t="s">
        <v>43</v>
      </c>
      <c r="P480" s="66"/>
    </row>
    <row r="481" spans="2:16" x14ac:dyDescent="0.25">
      <c r="B481" s="136"/>
      <c r="C481" s="67"/>
      <c r="D481" s="136"/>
      <c r="E481" s="67"/>
      <c r="F481" s="136"/>
      <c r="G481" s="67"/>
      <c r="H481" s="136" t="str">
        <f>IF(Tilmeldingsoversigt!$F$7="x",Morgenmad," ")</f>
        <v>Morgenmad</v>
      </c>
      <c r="I481" s="67">
        <f ca="1">IF(H481=Morgenmad,Tilmeldingsoversigt!$C$15," ")</f>
        <v>16.754098360655739</v>
      </c>
      <c r="J481" s="136" t="str">
        <f>IF(Tilmeldingsoversigt!$G$7="x",Morgenmad," ")</f>
        <v>Morgenmad</v>
      </c>
      <c r="K481" s="67">
        <f ca="1">IF(J481=Morgenmad,Tilmeldingsoversigt!$C$15," ")</f>
        <v>16.754098360655739</v>
      </c>
      <c r="L481" s="136" t="str">
        <f>IF(Tilmeldingsoversigt!$H$7="x",Morgenmad," ")</f>
        <v>Morgenmad</v>
      </c>
      <c r="M481" s="67">
        <f ca="1">IF(L481=Morgenmad,Tilmeldingsoversigt!$C$15," ")</f>
        <v>16.754098360655739</v>
      </c>
      <c r="N481" s="136" t="str">
        <f>IF(Tilmeldingsoversigt!$I$7="x",Morgenmad," ")</f>
        <v>Morgenmad</v>
      </c>
      <c r="O481" s="83">
        <f ca="1">IF(N481=Morgenmad,Tilmeldingsoversigt!$C$15," ")</f>
        <v>16.754098360655739</v>
      </c>
      <c r="P481" s="66"/>
    </row>
    <row r="482" spans="2:16" x14ac:dyDescent="0.25">
      <c r="B482" s="68"/>
      <c r="C482" s="69"/>
      <c r="D482" s="68"/>
      <c r="E482" s="69"/>
      <c r="F482" s="68"/>
      <c r="G482" s="69"/>
      <c r="H482" s="68" t="str">
        <f>IF(Tilmeldingsoversigt!$F$8="x",hovedret," ")</f>
        <v>Hovedret</v>
      </c>
      <c r="I482" s="69">
        <f ca="1">IF(H482=hovedret,Tilmeldingsoversigt!$C$16," ")</f>
        <v>55.016393442622949</v>
      </c>
      <c r="J482" s="68" t="str">
        <f>IF(Tilmeldingsoversigt!$G$8="x",hovedret," ")</f>
        <v>Hovedret</v>
      </c>
      <c r="K482" s="69">
        <f ca="1">IF(J482=hovedret,Tilmeldingsoversigt!$C$16," ")</f>
        <v>55.016393442622949</v>
      </c>
      <c r="L482" s="68" t="str">
        <f>IF(Tilmeldingsoversigt!$H$8="x",hovedret," ")</f>
        <v>Hovedret</v>
      </c>
      <c r="M482" s="69">
        <f ca="1">IF(L482=hovedret,Tilmeldingsoversigt!$C$16," ")</f>
        <v>55.016393442622949</v>
      </c>
      <c r="N482" s="68" t="str">
        <f>IF(Tilmeldingsoversigt!$I$8="x",hovedret," ")</f>
        <v>Hovedret</v>
      </c>
      <c r="O482" s="70">
        <f ca="1">IF(N482=hovedret,Tilmeldingsoversigt!$C$16," ")</f>
        <v>55.016393442622949</v>
      </c>
      <c r="P482" s="66"/>
    </row>
    <row r="483" spans="2:16" x14ac:dyDescent="0.25">
      <c r="B483" s="68"/>
      <c r="C483" s="69"/>
      <c r="D483" s="68"/>
      <c r="E483" s="69"/>
      <c r="F483" s="68"/>
      <c r="G483" s="69"/>
      <c r="H483" s="68" t="str">
        <f>IF(Tilmeldingsoversigt!$F$9="x",Aftensmad," ")</f>
        <v>Aftensmad</v>
      </c>
      <c r="I483" s="69">
        <f ca="1">IF(H483=Aftensmad,Tilmeldingsoversigt!$C$17," ")</f>
        <v>27.540983606557376</v>
      </c>
      <c r="J483" s="68" t="str">
        <f>IF(Tilmeldingsoversigt!$G$9="x",Aftensmad," ")</f>
        <v>Aftensmad</v>
      </c>
      <c r="K483" s="69">
        <f ca="1">IF(J483=Aftensmad,Tilmeldingsoversigt!$C$17," ")</f>
        <v>27.540983606557376</v>
      </c>
      <c r="L483" s="68" t="str">
        <f>IF(Tilmeldingsoversigt!$H$9="x",Aftensmad," ")</f>
        <v>Aftensmad</v>
      </c>
      <c r="M483" s="69">
        <f ca="1">IF(L483=Aftensmad,Tilmeldingsoversigt!$C$17," ")</f>
        <v>27.540983606557376</v>
      </c>
      <c r="N483" s="68" t="str">
        <f>IF(Tilmeldingsoversigt!$I$9="x",Aftensmad," ")</f>
        <v>Aftensmad</v>
      </c>
      <c r="O483" s="70">
        <f ca="1">IF(N483=Aftensmad,Tilmeldingsoversigt!$C$17," ")</f>
        <v>27.540983606557376</v>
      </c>
      <c r="P483" s="66"/>
    </row>
    <row r="484" spans="2:16" x14ac:dyDescent="0.25">
      <c r="B484" s="68"/>
      <c r="C484" s="69"/>
      <c r="D484" s="68"/>
      <c r="E484" s="69"/>
      <c r="F484" s="68"/>
      <c r="G484" s="69"/>
      <c r="H484" s="68" t="str">
        <f>IF(Tilmeldingsoversigt!$F$10="x",biret," ")</f>
        <v>Biret</v>
      </c>
      <c r="I484" s="69">
        <f>IF(H484=biret,biretpris," ")</f>
        <v>0</v>
      </c>
      <c r="J484" s="68" t="str">
        <f>IF(Tilmeldingsoversigt!$G$10="x",biret," ")</f>
        <v>Biret</v>
      </c>
      <c r="K484" s="69">
        <f>IF(J484=biret,biretpris," ")</f>
        <v>0</v>
      </c>
      <c r="L484" s="68" t="str">
        <f>IF(Tilmeldingsoversigt!$H$10="x",biret," ")</f>
        <v>Biret</v>
      </c>
      <c r="M484" s="69">
        <f>IF(L484=biret,biretpris," ")</f>
        <v>0</v>
      </c>
      <c r="N484" s="68" t="str">
        <f>IF(Tilmeldingsoversigt!$I$10="x",biret," ")</f>
        <v>Biret</v>
      </c>
      <c r="O484" s="70">
        <f>IF(N484=biret,biretpris," ")</f>
        <v>0</v>
      </c>
      <c r="P484" s="66"/>
    </row>
    <row r="485" spans="2:16" x14ac:dyDescent="0.25">
      <c r="B485" s="71"/>
      <c r="C485" s="72"/>
      <c r="D485" s="71"/>
      <c r="E485" s="72"/>
      <c r="F485" s="71"/>
      <c r="G485" s="72"/>
      <c r="H485" s="71" t="str">
        <f>IF(Tilmeldingsoversigt!$C$11="x",mellemmåltid," ")</f>
        <v xml:space="preserve"> </v>
      </c>
      <c r="I485" s="72" t="str">
        <f>IF(H485=mellemmåltid,mellemmåltidspris," ")</f>
        <v xml:space="preserve"> </v>
      </c>
      <c r="J485" s="71" t="str">
        <f>IF(Tilmeldingsoversigt!$C$11="x",mellemmåltid," ")</f>
        <v xml:space="preserve"> </v>
      </c>
      <c r="K485" s="72" t="str">
        <f>IF(J485=mellemmåltid,mellemmåltidspris," ")</f>
        <v xml:space="preserve"> </v>
      </c>
      <c r="L485" s="71" t="str">
        <f>IF(Tilmeldingsoversigt!$C$11="x",mellemmåltid," ")</f>
        <v xml:space="preserve"> </v>
      </c>
      <c r="M485" s="72" t="str">
        <f>IF(L485=mellemmåltid,mellemmåltidspris," ")</f>
        <v xml:space="preserve"> </v>
      </c>
      <c r="N485" s="71" t="str">
        <f>IF(Tilmeldingsoversigt!$C$11="x",mellemmåltid," ")</f>
        <v xml:space="preserve"> </v>
      </c>
      <c r="O485" s="73" t="str">
        <f>IF(N485=mellemmåltid,mellemmåltidspris," ")</f>
        <v xml:space="preserve"> </v>
      </c>
      <c r="P485" s="66"/>
    </row>
    <row r="486" spans="2:16" x14ac:dyDescent="0.25">
      <c r="B486" s="74" t="s">
        <v>44</v>
      </c>
      <c r="C486" s="11">
        <f>SUM(C481:C485)</f>
        <v>0</v>
      </c>
      <c r="D486" s="74"/>
      <c r="E486" s="11">
        <f>SUM(E481:E485)</f>
        <v>0</v>
      </c>
      <c r="F486" s="74"/>
      <c r="G486" s="11">
        <f>SUM(G481:G485)</f>
        <v>0</v>
      </c>
      <c r="H486" s="74"/>
      <c r="I486" s="11">
        <f ca="1">SUM(I481:I485)</f>
        <v>99.311475409836063</v>
      </c>
      <c r="J486" s="74"/>
      <c r="K486" s="11">
        <f ca="1">SUM(K481:K485)</f>
        <v>99.311475409836063</v>
      </c>
      <c r="L486" s="74"/>
      <c r="M486" s="11">
        <f ca="1">SUM(M481:M485)</f>
        <v>99.311475409836063</v>
      </c>
      <c r="N486" s="74"/>
      <c r="O486" s="12">
        <f ca="1">SUM(O481:O485)</f>
        <v>99.311475409836063</v>
      </c>
      <c r="P486" s="75">
        <f ca="1">SUMIF(B479:N479,"&lt;8",C486:O486)</f>
        <v>99.311475409836063</v>
      </c>
    </row>
    <row r="487" spans="2:16" x14ac:dyDescent="0.2">
      <c r="B487" s="76"/>
      <c r="C487" s="77"/>
      <c r="D487" s="77"/>
      <c r="E487" s="77"/>
      <c r="F487" s="77"/>
      <c r="G487" s="77"/>
      <c r="H487" s="77"/>
      <c r="I487" s="77"/>
      <c r="J487" s="77"/>
      <c r="K487" s="77"/>
      <c r="L487" s="77"/>
      <c r="M487" s="77"/>
      <c r="N487" s="77"/>
      <c r="O487" s="77"/>
      <c r="P487" s="76"/>
    </row>
    <row r="488" spans="2:16" ht="12.75" x14ac:dyDescent="0.25">
      <c r="B488" s="78">
        <f>N479+1</f>
        <v>2</v>
      </c>
      <c r="C488" s="79"/>
      <c r="D488" s="78">
        <f>B488+1</f>
        <v>3</v>
      </c>
      <c r="E488" s="79"/>
      <c r="F488" s="78">
        <f>D488+1</f>
        <v>4</v>
      </c>
      <c r="G488" s="79"/>
      <c r="H488" s="78">
        <f>F488+1</f>
        <v>5</v>
      </c>
      <c r="I488" s="79"/>
      <c r="J488" s="78">
        <f>H488+1</f>
        <v>6</v>
      </c>
      <c r="K488" s="79"/>
      <c r="L488" s="78">
        <f>J488+1</f>
        <v>7</v>
      </c>
      <c r="M488" s="79"/>
      <c r="N488" s="78">
        <f>L488+1</f>
        <v>8</v>
      </c>
      <c r="O488" s="79"/>
      <c r="P488" s="80"/>
    </row>
    <row r="489" spans="2:16" x14ac:dyDescent="0.25">
      <c r="B489" s="64" t="s">
        <v>42</v>
      </c>
      <c r="C489" s="81" t="s">
        <v>43</v>
      </c>
      <c r="D489" s="64" t="s">
        <v>42</v>
      </c>
      <c r="E489" s="81" t="s">
        <v>43</v>
      </c>
      <c r="F489" s="64" t="s">
        <v>42</v>
      </c>
      <c r="G489" s="81" t="s">
        <v>43</v>
      </c>
      <c r="H489" s="64" t="s">
        <v>42</v>
      </c>
      <c r="I489" s="81" t="s">
        <v>43</v>
      </c>
      <c r="J489" s="64" t="s">
        <v>42</v>
      </c>
      <c r="K489" s="81" t="s">
        <v>43</v>
      </c>
      <c r="L489" s="64" t="s">
        <v>42</v>
      </c>
      <c r="M489" s="81" t="s">
        <v>43</v>
      </c>
      <c r="N489" s="64" t="s">
        <v>42</v>
      </c>
      <c r="O489" s="82" t="s">
        <v>43</v>
      </c>
      <c r="P489" s="66"/>
    </row>
    <row r="490" spans="2:16" x14ac:dyDescent="0.25">
      <c r="B490" s="136" t="str">
        <f>IF(Tilmeldingsoversigt!$C$7="x",Morgenmad," ")</f>
        <v>Morgenmad</v>
      </c>
      <c r="C490" s="67">
        <f ca="1">IF(B490=Morgenmad,Tilmeldingsoversigt!$C$15," ")</f>
        <v>16.754098360655739</v>
      </c>
      <c r="D490" s="136" t="str">
        <f>IF(Tilmeldingsoversigt!$D$7="x",Morgenmad," ")</f>
        <v>Morgenmad</v>
      </c>
      <c r="E490" s="67">
        <f ca="1">IF(D490=Morgenmad,Tilmeldingsoversigt!$C$15," ")</f>
        <v>16.754098360655739</v>
      </c>
      <c r="F490" s="136" t="str">
        <f>IF(Tilmeldingsoversigt!$E$7="x",Morgenmad," ")</f>
        <v>Morgenmad</v>
      </c>
      <c r="G490" s="67">
        <f ca="1">IF(F490=Morgenmad,Tilmeldingsoversigt!$C$15," ")</f>
        <v>16.754098360655739</v>
      </c>
      <c r="H490" s="136" t="str">
        <f>IF(Tilmeldingsoversigt!$F$7="x",Morgenmad," ")</f>
        <v>Morgenmad</v>
      </c>
      <c r="I490" s="67">
        <f ca="1">IF(H490=Morgenmad,Tilmeldingsoversigt!$C$15," ")</f>
        <v>16.754098360655739</v>
      </c>
      <c r="J490" s="136" t="str">
        <f>IF(Tilmeldingsoversigt!$G$7="x",Morgenmad," ")</f>
        <v>Morgenmad</v>
      </c>
      <c r="K490" s="67">
        <f ca="1">IF(J490=Morgenmad,Tilmeldingsoversigt!$C$15," ")</f>
        <v>16.754098360655739</v>
      </c>
      <c r="L490" s="136" t="str">
        <f>IF(Tilmeldingsoversigt!$H$7="x",Morgenmad," ")</f>
        <v>Morgenmad</v>
      </c>
      <c r="M490" s="67">
        <f ca="1">IF(L490=Morgenmad,Tilmeldingsoversigt!$C$15," ")</f>
        <v>16.754098360655739</v>
      </c>
      <c r="N490" s="136" t="str">
        <f>IF(Tilmeldingsoversigt!$I$7="x",Morgenmad," ")</f>
        <v>Morgenmad</v>
      </c>
      <c r="O490" s="83">
        <f ca="1">IF(N490=Morgenmad,Tilmeldingsoversigt!$C$15," ")</f>
        <v>16.754098360655739</v>
      </c>
      <c r="P490" s="66"/>
    </row>
    <row r="491" spans="2:16" x14ac:dyDescent="0.25">
      <c r="B491" s="68" t="str">
        <f>IF(Tilmeldingsoversigt!$C$8="x",hovedret," ")</f>
        <v>Hovedret</v>
      </c>
      <c r="C491" s="69">
        <f ca="1">IF(B491=hovedret,Tilmeldingsoversigt!$C$16," ")</f>
        <v>55.016393442622949</v>
      </c>
      <c r="D491" s="68" t="str">
        <f>IF(Tilmeldingsoversigt!$D$8="x",hovedret," ")</f>
        <v>Hovedret</v>
      </c>
      <c r="E491" s="69">
        <f ca="1">IF(D491=hovedret,Tilmeldingsoversigt!$C$16," ")</f>
        <v>55.016393442622949</v>
      </c>
      <c r="F491" s="68" t="str">
        <f>IF(Tilmeldingsoversigt!$E$8="x",hovedret," ")</f>
        <v>Hovedret</v>
      </c>
      <c r="G491" s="69">
        <f ca="1">IF(F491=hovedret,Tilmeldingsoversigt!$C$16," ")</f>
        <v>55.016393442622949</v>
      </c>
      <c r="H491" s="68" t="str">
        <f>IF(Tilmeldingsoversigt!$F$8="x",hovedret," ")</f>
        <v>Hovedret</v>
      </c>
      <c r="I491" s="69">
        <f ca="1">IF(H491=hovedret,Tilmeldingsoversigt!$C$16," ")</f>
        <v>55.016393442622949</v>
      </c>
      <c r="J491" s="68" t="str">
        <f>IF(Tilmeldingsoversigt!$G$8="x",hovedret," ")</f>
        <v>Hovedret</v>
      </c>
      <c r="K491" s="69">
        <f ca="1">IF(J491=hovedret,Tilmeldingsoversigt!$C$16," ")</f>
        <v>55.016393442622949</v>
      </c>
      <c r="L491" s="68" t="str">
        <f>IF(Tilmeldingsoversigt!$H$8="x",hovedret," ")</f>
        <v>Hovedret</v>
      </c>
      <c r="M491" s="69">
        <f ca="1">IF(L491=hovedret,Tilmeldingsoversigt!$C$16," ")</f>
        <v>55.016393442622949</v>
      </c>
      <c r="N491" s="68" t="str">
        <f>IF(Tilmeldingsoversigt!$I$8="x",hovedret," ")</f>
        <v>Hovedret</v>
      </c>
      <c r="O491" s="70">
        <f ca="1">IF(N491=hovedret,Tilmeldingsoversigt!$C$16," ")</f>
        <v>55.016393442622949</v>
      </c>
      <c r="P491" s="66"/>
    </row>
    <row r="492" spans="2:16" x14ac:dyDescent="0.25">
      <c r="B492" s="68" t="str">
        <f>IF(Tilmeldingsoversigt!$C$9="x",Aftensmad," ")</f>
        <v>Aftensmad</v>
      </c>
      <c r="C492" s="69">
        <f ca="1">IF(B492=Aftensmad,Tilmeldingsoversigt!$C$17," ")</f>
        <v>27.540983606557376</v>
      </c>
      <c r="D492" s="68" t="str">
        <f>IF(Tilmeldingsoversigt!$D$9="x",Aftensmad," ")</f>
        <v>Aftensmad</v>
      </c>
      <c r="E492" s="69">
        <f ca="1">IF(D492=Aftensmad,Tilmeldingsoversigt!$C$17," ")</f>
        <v>27.540983606557376</v>
      </c>
      <c r="F492" s="68" t="str">
        <f>IF(Tilmeldingsoversigt!$E$9="x",Aftensmad," ")</f>
        <v>Aftensmad</v>
      </c>
      <c r="G492" s="69">
        <f ca="1">IF(F492=Aftensmad,Tilmeldingsoversigt!$C$17," ")</f>
        <v>27.540983606557376</v>
      </c>
      <c r="H492" s="68" t="str">
        <f>IF(Tilmeldingsoversigt!$F$9="x",Aftensmad," ")</f>
        <v>Aftensmad</v>
      </c>
      <c r="I492" s="69">
        <f ca="1">IF(H492=Aftensmad,Tilmeldingsoversigt!$C$17," ")</f>
        <v>27.540983606557376</v>
      </c>
      <c r="J492" s="68" t="str">
        <f>IF(Tilmeldingsoversigt!$G$9="x",Aftensmad," ")</f>
        <v>Aftensmad</v>
      </c>
      <c r="K492" s="69">
        <f ca="1">IF(J492=Aftensmad,Tilmeldingsoversigt!$C$17," ")</f>
        <v>27.540983606557376</v>
      </c>
      <c r="L492" s="68" t="str">
        <f>IF(Tilmeldingsoversigt!$H$9="x",Aftensmad," ")</f>
        <v>Aftensmad</v>
      </c>
      <c r="M492" s="69">
        <f ca="1">IF(L492=Aftensmad,Tilmeldingsoversigt!$C$17," ")</f>
        <v>27.540983606557376</v>
      </c>
      <c r="N492" s="68" t="str">
        <f>IF(Tilmeldingsoversigt!$I$9="x",Aftensmad," ")</f>
        <v>Aftensmad</v>
      </c>
      <c r="O492" s="70">
        <f ca="1">IF(N492=Aftensmad,Tilmeldingsoversigt!$C$17," ")</f>
        <v>27.540983606557376</v>
      </c>
      <c r="P492" s="66"/>
    </row>
    <row r="493" spans="2:16" x14ac:dyDescent="0.25">
      <c r="B493" s="68" t="str">
        <f>IF(Tilmeldingsoversigt!$C$10="x",biret," ")</f>
        <v>Biret</v>
      </c>
      <c r="C493" s="69">
        <f>IF(B493=biret,biretpris," ")</f>
        <v>0</v>
      </c>
      <c r="D493" s="68" t="str">
        <f>IF(Tilmeldingsoversigt!$D$10="x",biret," ")</f>
        <v>Biret</v>
      </c>
      <c r="E493" s="69">
        <f>IF(D493=biret,biretpris," ")</f>
        <v>0</v>
      </c>
      <c r="F493" s="68" t="str">
        <f>IF(Tilmeldingsoversigt!$E$10="x",biret," ")</f>
        <v>Biret</v>
      </c>
      <c r="G493" s="69">
        <f>IF(F493=biret,biretpris," ")</f>
        <v>0</v>
      </c>
      <c r="H493" s="68" t="str">
        <f>IF(Tilmeldingsoversigt!$F$10="x",biret," ")</f>
        <v>Biret</v>
      </c>
      <c r="I493" s="69">
        <f>IF(H493=biret,biretpris," ")</f>
        <v>0</v>
      </c>
      <c r="J493" s="68" t="str">
        <f>IF(Tilmeldingsoversigt!$G$10="x",biret," ")</f>
        <v>Biret</v>
      </c>
      <c r="K493" s="69">
        <f>IF(J493=biret,biretpris," ")</f>
        <v>0</v>
      </c>
      <c r="L493" s="68" t="str">
        <f>IF(Tilmeldingsoversigt!$H$10="x",biret," ")</f>
        <v>Biret</v>
      </c>
      <c r="M493" s="69">
        <f>IF(L493=biret,biretpris," ")</f>
        <v>0</v>
      </c>
      <c r="N493" s="68" t="str">
        <f>IF(Tilmeldingsoversigt!$I$10="x",biret," ")</f>
        <v>Biret</v>
      </c>
      <c r="O493" s="70">
        <f>IF(N493=biret,biretpris," ")</f>
        <v>0</v>
      </c>
      <c r="P493" s="66"/>
    </row>
    <row r="494" spans="2:16" x14ac:dyDescent="0.25">
      <c r="B494" s="71" t="str">
        <f>IF(Tilmeldingsoversigt!$C$11="x",mellemmåltid," ")</f>
        <v xml:space="preserve"> </v>
      </c>
      <c r="C494" s="72" t="str">
        <f>IF(B494=mellemmåltid,mellemmåltidspris," ")</f>
        <v xml:space="preserve"> </v>
      </c>
      <c r="D494" s="71" t="str">
        <f>IF(Tilmeldingsoversigt!$C$11="x",mellemmåltid," ")</f>
        <v xml:space="preserve"> </v>
      </c>
      <c r="E494" s="72" t="str">
        <f>IF(D494=mellemmåltid,mellemmåltidspris," ")</f>
        <v xml:space="preserve"> </v>
      </c>
      <c r="F494" s="71" t="str">
        <f>IF(Tilmeldingsoversigt!$C$11="x",mellemmåltid," ")</f>
        <v xml:space="preserve"> </v>
      </c>
      <c r="G494" s="72" t="str">
        <f>IF(F494=mellemmåltid,mellemmåltidspris," ")</f>
        <v xml:space="preserve"> </v>
      </c>
      <c r="H494" s="71" t="str">
        <f>IF(Tilmeldingsoversigt!$C$11="x",mellemmåltid," ")</f>
        <v xml:space="preserve"> </v>
      </c>
      <c r="I494" s="72" t="str">
        <f>IF(H494=mellemmåltid,mellemmåltidspris," ")</f>
        <v xml:space="preserve"> </v>
      </c>
      <c r="J494" s="71" t="str">
        <f>IF(Tilmeldingsoversigt!$C$11="x",mellemmåltid," ")</f>
        <v xml:space="preserve"> </v>
      </c>
      <c r="K494" s="72" t="str">
        <f>IF(J494=mellemmåltid,mellemmåltidspris," ")</f>
        <v xml:space="preserve"> </v>
      </c>
      <c r="L494" s="71" t="str">
        <f>IF(Tilmeldingsoversigt!$C$11="x",mellemmåltid," ")</f>
        <v xml:space="preserve"> </v>
      </c>
      <c r="M494" s="72" t="str">
        <f>IF(L494=mellemmåltid,mellemmåltidspris," ")</f>
        <v xml:space="preserve"> </v>
      </c>
      <c r="N494" s="71" t="str">
        <f>IF(Tilmeldingsoversigt!$C$11="x",mellemmåltid," ")</f>
        <v xml:space="preserve"> </v>
      </c>
      <c r="O494" s="73" t="str">
        <f>IF(N494=mellemmåltid,mellemmåltidspris," ")</f>
        <v xml:space="preserve"> </v>
      </c>
      <c r="P494" s="66"/>
    </row>
    <row r="495" spans="2:16" x14ac:dyDescent="0.25">
      <c r="B495" s="74" t="s">
        <v>44</v>
      </c>
      <c r="C495" s="11">
        <f ca="1">SUM(C490:C494)</f>
        <v>99.311475409836063</v>
      </c>
      <c r="D495" s="74"/>
      <c r="E495" s="11">
        <f ca="1">SUM(E490:E494)</f>
        <v>99.311475409836063</v>
      </c>
      <c r="F495" s="74"/>
      <c r="G495" s="11">
        <f ca="1">SUM(G490:G494)</f>
        <v>99.311475409836063</v>
      </c>
      <c r="H495" s="74"/>
      <c r="I495" s="11">
        <f ca="1">SUM(I490:I494)</f>
        <v>99.311475409836063</v>
      </c>
      <c r="J495" s="74"/>
      <c r="K495" s="11">
        <f ca="1">SUM(K490:K494)</f>
        <v>99.311475409836063</v>
      </c>
      <c r="L495" s="74"/>
      <c r="M495" s="11">
        <f ca="1">SUM(M490:M494)</f>
        <v>99.311475409836063</v>
      </c>
      <c r="N495" s="74"/>
      <c r="O495" s="12">
        <f ca="1">SUM(O490:O494)</f>
        <v>99.311475409836063</v>
      </c>
      <c r="P495" s="75">
        <f ca="1">SUM(C495,E495,G495,I495,K495,M495,O495)</f>
        <v>695.18032786885237</v>
      </c>
    </row>
    <row r="496" spans="2:16" x14ac:dyDescent="0.2">
      <c r="B496" s="76"/>
      <c r="C496" s="77"/>
      <c r="D496" s="77"/>
      <c r="E496" s="77"/>
      <c r="F496" s="77"/>
      <c r="G496" s="77"/>
      <c r="H496" s="77"/>
      <c r="I496" s="77"/>
      <c r="J496" s="77"/>
      <c r="K496" s="77"/>
      <c r="L496" s="77"/>
      <c r="M496" s="77"/>
      <c r="N496" s="77"/>
      <c r="O496" s="77"/>
      <c r="P496" s="76"/>
    </row>
    <row r="497" spans="2:16" ht="12.75" x14ac:dyDescent="0.25">
      <c r="B497" s="78">
        <f>N488+1</f>
        <v>9</v>
      </c>
      <c r="C497" s="79"/>
      <c r="D497" s="78">
        <f>B497+1</f>
        <v>10</v>
      </c>
      <c r="E497" s="79"/>
      <c r="F497" s="78">
        <f>D497+1</f>
        <v>11</v>
      </c>
      <c r="G497" s="79"/>
      <c r="H497" s="78">
        <f>F497+1</f>
        <v>12</v>
      </c>
      <c r="I497" s="79"/>
      <c r="J497" s="78">
        <f>H497+1</f>
        <v>13</v>
      </c>
      <c r="K497" s="79"/>
      <c r="L497" s="78">
        <f>J497+1</f>
        <v>14</v>
      </c>
      <c r="M497" s="79"/>
      <c r="N497" s="78">
        <f>L497+1</f>
        <v>15</v>
      </c>
      <c r="O497" s="79"/>
      <c r="P497" s="80"/>
    </row>
    <row r="498" spans="2:16" x14ac:dyDescent="0.25">
      <c r="B498" s="64" t="s">
        <v>42</v>
      </c>
      <c r="C498" s="81" t="s">
        <v>43</v>
      </c>
      <c r="D498" s="64" t="s">
        <v>42</v>
      </c>
      <c r="E498" s="81" t="s">
        <v>43</v>
      </c>
      <c r="F498" s="64" t="s">
        <v>42</v>
      </c>
      <c r="G498" s="81" t="s">
        <v>43</v>
      </c>
      <c r="H498" s="64" t="s">
        <v>42</v>
      </c>
      <c r="I498" s="81" t="s">
        <v>43</v>
      </c>
      <c r="J498" s="64" t="s">
        <v>42</v>
      </c>
      <c r="K498" s="81" t="s">
        <v>43</v>
      </c>
      <c r="L498" s="64" t="s">
        <v>42</v>
      </c>
      <c r="M498" s="81" t="s">
        <v>43</v>
      </c>
      <c r="N498" s="64" t="s">
        <v>42</v>
      </c>
      <c r="O498" s="82" t="s">
        <v>43</v>
      </c>
      <c r="P498" s="66"/>
    </row>
    <row r="499" spans="2:16" x14ac:dyDescent="0.25">
      <c r="B499" s="136" t="str">
        <f>IF(Tilmeldingsoversigt!$C$7="x",Morgenmad," ")</f>
        <v>Morgenmad</v>
      </c>
      <c r="C499" s="67">
        <f ca="1">IF(B499=Morgenmad,Tilmeldingsoversigt!$C$15," ")</f>
        <v>16.754098360655739</v>
      </c>
      <c r="D499" s="136" t="str">
        <f>IF(Tilmeldingsoversigt!$D$7="x",Morgenmad," ")</f>
        <v>Morgenmad</v>
      </c>
      <c r="E499" s="67">
        <f ca="1">IF(D499=Morgenmad,Tilmeldingsoversigt!$C$15," ")</f>
        <v>16.754098360655739</v>
      </c>
      <c r="F499" s="136" t="str">
        <f>IF(Tilmeldingsoversigt!$E$7="x",Morgenmad," ")</f>
        <v>Morgenmad</v>
      </c>
      <c r="G499" s="67">
        <f ca="1">IF(F499=Morgenmad,Tilmeldingsoversigt!$C$15," ")</f>
        <v>16.754098360655739</v>
      </c>
      <c r="H499" s="136" t="str">
        <f>IF(Tilmeldingsoversigt!$F$7="x",Morgenmad," ")</f>
        <v>Morgenmad</v>
      </c>
      <c r="I499" s="67">
        <f ca="1">IF(H499=Morgenmad,Tilmeldingsoversigt!$C$15," ")</f>
        <v>16.754098360655739</v>
      </c>
      <c r="J499" s="136" t="str">
        <f>IF(Tilmeldingsoversigt!$G$7="x",Morgenmad," ")</f>
        <v>Morgenmad</v>
      </c>
      <c r="K499" s="67">
        <f ca="1">IF(J499=Morgenmad,Tilmeldingsoversigt!$C$15," ")</f>
        <v>16.754098360655739</v>
      </c>
      <c r="L499" s="136" t="str">
        <f>IF(Tilmeldingsoversigt!$H$7="x",Morgenmad," ")</f>
        <v>Morgenmad</v>
      </c>
      <c r="M499" s="67">
        <f ca="1">IF(L499=Morgenmad,Tilmeldingsoversigt!$C$15," ")</f>
        <v>16.754098360655739</v>
      </c>
      <c r="N499" s="136" t="str">
        <f>IF(Tilmeldingsoversigt!$I$7="x",Morgenmad," ")</f>
        <v>Morgenmad</v>
      </c>
      <c r="O499" s="83">
        <f ca="1">IF(N499=Morgenmad,Tilmeldingsoversigt!$C$15," ")</f>
        <v>16.754098360655739</v>
      </c>
      <c r="P499" s="66"/>
    </row>
    <row r="500" spans="2:16" x14ac:dyDescent="0.25">
      <c r="B500" s="68" t="str">
        <f>IF(Tilmeldingsoversigt!$C$8="x",hovedret," ")</f>
        <v>Hovedret</v>
      </c>
      <c r="C500" s="69">
        <f ca="1">IF(B500=hovedret,Tilmeldingsoversigt!$C$16," ")</f>
        <v>55.016393442622949</v>
      </c>
      <c r="D500" s="68" t="str">
        <f>IF(Tilmeldingsoversigt!$D$8="x",hovedret," ")</f>
        <v>Hovedret</v>
      </c>
      <c r="E500" s="69">
        <f ca="1">IF(D500=hovedret,Tilmeldingsoversigt!$C$16," ")</f>
        <v>55.016393442622949</v>
      </c>
      <c r="F500" s="68" t="str">
        <f>IF(Tilmeldingsoversigt!$E$8="x",hovedret," ")</f>
        <v>Hovedret</v>
      </c>
      <c r="G500" s="69">
        <f ca="1">IF(F500=hovedret,Tilmeldingsoversigt!$C$16," ")</f>
        <v>55.016393442622949</v>
      </c>
      <c r="H500" s="68" t="str">
        <f>IF(Tilmeldingsoversigt!$F$8="x",hovedret," ")</f>
        <v>Hovedret</v>
      </c>
      <c r="I500" s="69">
        <f ca="1">IF(H500=hovedret,Tilmeldingsoversigt!$C$16," ")</f>
        <v>55.016393442622949</v>
      </c>
      <c r="J500" s="68" t="str">
        <f>IF(Tilmeldingsoversigt!$G$8="x",hovedret," ")</f>
        <v>Hovedret</v>
      </c>
      <c r="K500" s="69">
        <f ca="1">IF(J500=hovedret,Tilmeldingsoversigt!$C$16," ")</f>
        <v>55.016393442622949</v>
      </c>
      <c r="L500" s="68" t="str">
        <f>IF(Tilmeldingsoversigt!$H$8="x",hovedret," ")</f>
        <v>Hovedret</v>
      </c>
      <c r="M500" s="69">
        <f ca="1">IF(L500=hovedret,Tilmeldingsoversigt!$C$16," ")</f>
        <v>55.016393442622949</v>
      </c>
      <c r="N500" s="68" t="str">
        <f>IF(Tilmeldingsoversigt!$I$8="x",hovedret," ")</f>
        <v>Hovedret</v>
      </c>
      <c r="O500" s="70">
        <f ca="1">IF(N500=hovedret,Tilmeldingsoversigt!$C$16," ")</f>
        <v>55.016393442622949</v>
      </c>
      <c r="P500" s="66"/>
    </row>
    <row r="501" spans="2:16" x14ac:dyDescent="0.25">
      <c r="B501" s="68" t="str">
        <f>IF(Tilmeldingsoversigt!$C$9="x",Aftensmad," ")</f>
        <v>Aftensmad</v>
      </c>
      <c r="C501" s="69">
        <f ca="1">IF(B501=Aftensmad,Tilmeldingsoversigt!$C$17," ")</f>
        <v>27.540983606557376</v>
      </c>
      <c r="D501" s="68" t="str">
        <f>IF(Tilmeldingsoversigt!$D$9="x",Aftensmad," ")</f>
        <v>Aftensmad</v>
      </c>
      <c r="E501" s="69">
        <f ca="1">IF(D501=Aftensmad,Tilmeldingsoversigt!$C$17," ")</f>
        <v>27.540983606557376</v>
      </c>
      <c r="F501" s="68" t="str">
        <f>IF(Tilmeldingsoversigt!$E$9="x",Aftensmad," ")</f>
        <v>Aftensmad</v>
      </c>
      <c r="G501" s="69">
        <f ca="1">IF(F501=Aftensmad,Tilmeldingsoversigt!$C$17," ")</f>
        <v>27.540983606557376</v>
      </c>
      <c r="H501" s="68" t="str">
        <f>IF(Tilmeldingsoversigt!$F$9="x",Aftensmad," ")</f>
        <v>Aftensmad</v>
      </c>
      <c r="I501" s="69">
        <f ca="1">IF(H501=Aftensmad,Tilmeldingsoversigt!$C$17," ")</f>
        <v>27.540983606557376</v>
      </c>
      <c r="J501" s="68" t="str">
        <f>IF(Tilmeldingsoversigt!$G$9="x",Aftensmad," ")</f>
        <v>Aftensmad</v>
      </c>
      <c r="K501" s="69">
        <f ca="1">IF(J501=Aftensmad,Tilmeldingsoversigt!$C$17," ")</f>
        <v>27.540983606557376</v>
      </c>
      <c r="L501" s="68" t="str">
        <f>IF(Tilmeldingsoversigt!$H$9="x",Aftensmad," ")</f>
        <v>Aftensmad</v>
      </c>
      <c r="M501" s="69">
        <f ca="1">IF(L501=Aftensmad,Tilmeldingsoversigt!$C$17," ")</f>
        <v>27.540983606557376</v>
      </c>
      <c r="N501" s="68" t="str">
        <f>IF(Tilmeldingsoversigt!$I$9="x",Aftensmad," ")</f>
        <v>Aftensmad</v>
      </c>
      <c r="O501" s="70">
        <f ca="1">IF(N501=Aftensmad,Tilmeldingsoversigt!$C$17," ")</f>
        <v>27.540983606557376</v>
      </c>
      <c r="P501" s="66"/>
    </row>
    <row r="502" spans="2:16" x14ac:dyDescent="0.25">
      <c r="B502" s="68" t="str">
        <f>IF(Tilmeldingsoversigt!$C$10="x",biret," ")</f>
        <v>Biret</v>
      </c>
      <c r="C502" s="69">
        <f>IF(B502=biret,biretpris," ")</f>
        <v>0</v>
      </c>
      <c r="D502" s="68" t="str">
        <f>IF(Tilmeldingsoversigt!$D$10="x",biret," ")</f>
        <v>Biret</v>
      </c>
      <c r="E502" s="69">
        <f>IF(D502=biret,biretpris," ")</f>
        <v>0</v>
      </c>
      <c r="F502" s="68" t="str">
        <f>IF(Tilmeldingsoversigt!$E$10="x",biret," ")</f>
        <v>Biret</v>
      </c>
      <c r="G502" s="69">
        <f>IF(F502=biret,biretpris," ")</f>
        <v>0</v>
      </c>
      <c r="H502" s="68" t="str">
        <f>IF(Tilmeldingsoversigt!$F$10="x",biret," ")</f>
        <v>Biret</v>
      </c>
      <c r="I502" s="69">
        <f>IF(H502=biret,biretpris," ")</f>
        <v>0</v>
      </c>
      <c r="J502" s="68" t="str">
        <f>IF(Tilmeldingsoversigt!$G$10="x",biret," ")</f>
        <v>Biret</v>
      </c>
      <c r="K502" s="69">
        <f>IF(J502=biret,biretpris," ")</f>
        <v>0</v>
      </c>
      <c r="L502" s="68" t="str">
        <f>IF(Tilmeldingsoversigt!$H$10="x",biret," ")</f>
        <v>Biret</v>
      </c>
      <c r="M502" s="69">
        <f>IF(L502=biret,biretpris," ")</f>
        <v>0</v>
      </c>
      <c r="N502" s="68" t="str">
        <f>IF(Tilmeldingsoversigt!$I$10="x",biret," ")</f>
        <v>Biret</v>
      </c>
      <c r="O502" s="70">
        <f>IF(N502=biret,biretpris," ")</f>
        <v>0</v>
      </c>
      <c r="P502" s="66"/>
    </row>
    <row r="503" spans="2:16" x14ac:dyDescent="0.25">
      <c r="B503" s="71" t="str">
        <f>IF(Tilmeldingsoversigt!$C$11="x",mellemmåltid," ")</f>
        <v xml:space="preserve"> </v>
      </c>
      <c r="C503" s="72" t="str">
        <f>IF(B503=mellemmåltid,mellemmåltidspris," ")</f>
        <v xml:space="preserve"> </v>
      </c>
      <c r="D503" s="71" t="str">
        <f>IF(Tilmeldingsoversigt!$C$11="x",mellemmåltid," ")</f>
        <v xml:space="preserve"> </v>
      </c>
      <c r="E503" s="72" t="str">
        <f>IF(D503=mellemmåltid,mellemmåltidspris," ")</f>
        <v xml:space="preserve"> </v>
      </c>
      <c r="F503" s="71" t="str">
        <f>IF(Tilmeldingsoversigt!$C$11="x",mellemmåltid," ")</f>
        <v xml:space="preserve"> </v>
      </c>
      <c r="G503" s="72" t="str">
        <f>IF(F503=mellemmåltid,mellemmåltidspris," ")</f>
        <v xml:space="preserve"> </v>
      </c>
      <c r="H503" s="71" t="str">
        <f>IF(Tilmeldingsoversigt!$C$11="x",mellemmåltid," ")</f>
        <v xml:space="preserve"> </v>
      </c>
      <c r="I503" s="72" t="str">
        <f>IF(H503=mellemmåltid,mellemmåltidspris," ")</f>
        <v xml:space="preserve"> </v>
      </c>
      <c r="J503" s="71" t="str">
        <f>IF(Tilmeldingsoversigt!$C$11="x",mellemmåltid," ")</f>
        <v xml:space="preserve"> </v>
      </c>
      <c r="K503" s="72" t="str">
        <f>IF(J503=mellemmåltid,mellemmåltidspris," ")</f>
        <v xml:space="preserve"> </v>
      </c>
      <c r="L503" s="71" t="str">
        <f>IF(Tilmeldingsoversigt!$C$11="x",mellemmåltid," ")</f>
        <v xml:space="preserve"> </v>
      </c>
      <c r="M503" s="72" t="str">
        <f>IF(L503=mellemmåltid,mellemmåltidspris," ")</f>
        <v xml:space="preserve"> </v>
      </c>
      <c r="N503" s="71" t="str">
        <f>IF(Tilmeldingsoversigt!$C$11="x",mellemmåltid," ")</f>
        <v xml:space="preserve"> </v>
      </c>
      <c r="O503" s="73" t="str">
        <f>IF(N503=mellemmåltid,mellemmåltidspris," ")</f>
        <v xml:space="preserve"> </v>
      </c>
      <c r="P503" s="66"/>
    </row>
    <row r="504" spans="2:16" x14ac:dyDescent="0.25">
      <c r="B504" s="84" t="s">
        <v>44</v>
      </c>
      <c r="C504" s="11">
        <f ca="1">SUM(C499:C503)</f>
        <v>99.311475409836063</v>
      </c>
      <c r="D504" s="74"/>
      <c r="E504" s="11">
        <f ca="1">SUM(E499:E503)</f>
        <v>99.311475409836063</v>
      </c>
      <c r="F504" s="74"/>
      <c r="G504" s="11">
        <f ca="1">SUM(G499:G503)</f>
        <v>99.311475409836063</v>
      </c>
      <c r="H504" s="74"/>
      <c r="I504" s="11">
        <f ca="1">SUM(I499:I503)</f>
        <v>99.311475409836063</v>
      </c>
      <c r="J504" s="74"/>
      <c r="K504" s="11">
        <f ca="1">SUM(K499:K503)</f>
        <v>99.311475409836063</v>
      </c>
      <c r="L504" s="74"/>
      <c r="M504" s="11">
        <f ca="1">SUM(M499:M503)</f>
        <v>99.311475409836063</v>
      </c>
      <c r="N504" s="74"/>
      <c r="O504" s="12">
        <f ca="1">SUM(O499:O503)</f>
        <v>99.311475409836063</v>
      </c>
      <c r="P504" s="75">
        <f ca="1">SUM(C504,E504,G504,I504,K504,M504,O504)</f>
        <v>695.18032786885237</v>
      </c>
    </row>
    <row r="505" spans="2:16" x14ac:dyDescent="0.2">
      <c r="B505" s="76"/>
      <c r="C505" s="77"/>
      <c r="D505" s="77"/>
      <c r="E505" s="77"/>
      <c r="F505" s="77"/>
      <c r="G505" s="77"/>
      <c r="H505" s="77"/>
      <c r="I505" s="77"/>
      <c r="J505" s="77"/>
      <c r="K505" s="77"/>
      <c r="L505" s="77"/>
      <c r="M505" s="77"/>
      <c r="N505" s="77"/>
      <c r="O505" s="77"/>
      <c r="P505" s="76"/>
    </row>
    <row r="506" spans="2:16" ht="12.75" x14ac:dyDescent="0.25">
      <c r="B506" s="78">
        <f>N497+1</f>
        <v>16</v>
      </c>
      <c r="C506" s="79"/>
      <c r="D506" s="78">
        <f>B506+1</f>
        <v>17</v>
      </c>
      <c r="E506" s="79"/>
      <c r="F506" s="78">
        <f>D506+1</f>
        <v>18</v>
      </c>
      <c r="G506" s="79"/>
      <c r="H506" s="78">
        <f>F506+1</f>
        <v>19</v>
      </c>
      <c r="I506" s="79"/>
      <c r="J506" s="78">
        <f>H506+1</f>
        <v>20</v>
      </c>
      <c r="K506" s="79"/>
      <c r="L506" s="78">
        <f>J506+1</f>
        <v>21</v>
      </c>
      <c r="M506" s="79"/>
      <c r="N506" s="78">
        <f>L506+1</f>
        <v>22</v>
      </c>
      <c r="O506" s="79"/>
      <c r="P506" s="80"/>
    </row>
    <row r="507" spans="2:16" x14ac:dyDescent="0.25">
      <c r="B507" s="64" t="s">
        <v>42</v>
      </c>
      <c r="C507" s="81" t="s">
        <v>43</v>
      </c>
      <c r="D507" s="64" t="s">
        <v>42</v>
      </c>
      <c r="E507" s="81" t="s">
        <v>43</v>
      </c>
      <c r="F507" s="64" t="s">
        <v>42</v>
      </c>
      <c r="G507" s="81" t="s">
        <v>43</v>
      </c>
      <c r="H507" s="64" t="s">
        <v>42</v>
      </c>
      <c r="I507" s="81" t="s">
        <v>43</v>
      </c>
      <c r="J507" s="64" t="s">
        <v>42</v>
      </c>
      <c r="K507" s="81" t="s">
        <v>43</v>
      </c>
      <c r="L507" s="64" t="s">
        <v>42</v>
      </c>
      <c r="M507" s="81" t="s">
        <v>43</v>
      </c>
      <c r="N507" s="64" t="s">
        <v>42</v>
      </c>
      <c r="O507" s="82" t="s">
        <v>43</v>
      </c>
      <c r="P507" s="66"/>
    </row>
    <row r="508" spans="2:16" x14ac:dyDescent="0.25">
      <c r="B508" s="136" t="str">
        <f>IF(Tilmeldingsoversigt!$C$7="x",Morgenmad," ")</f>
        <v>Morgenmad</v>
      </c>
      <c r="C508" s="67">
        <f ca="1">IF(B508=Morgenmad,Tilmeldingsoversigt!$C$15," ")</f>
        <v>16.754098360655739</v>
      </c>
      <c r="D508" s="136" t="str">
        <f>IF(Tilmeldingsoversigt!$D$7="x",Morgenmad," ")</f>
        <v>Morgenmad</v>
      </c>
      <c r="E508" s="67">
        <f ca="1">IF(D508=Morgenmad,Tilmeldingsoversigt!$C$15," ")</f>
        <v>16.754098360655739</v>
      </c>
      <c r="F508" s="136" t="str">
        <f>IF(Tilmeldingsoversigt!$E$7="x",Morgenmad," ")</f>
        <v>Morgenmad</v>
      </c>
      <c r="G508" s="67">
        <f ca="1">IF(F508=Morgenmad,Tilmeldingsoversigt!$C$15," ")</f>
        <v>16.754098360655739</v>
      </c>
      <c r="H508" s="136" t="str">
        <f>IF(Tilmeldingsoversigt!$F$7="x",Morgenmad," ")</f>
        <v>Morgenmad</v>
      </c>
      <c r="I508" s="67">
        <f ca="1">IF(H508=Morgenmad,Tilmeldingsoversigt!$C$15," ")</f>
        <v>16.754098360655739</v>
      </c>
      <c r="J508" s="136" t="str">
        <f>IF(Tilmeldingsoversigt!$G$7="x",Morgenmad," ")</f>
        <v>Morgenmad</v>
      </c>
      <c r="K508" s="67">
        <f ca="1">IF(J508=Morgenmad,Tilmeldingsoversigt!$C$15," ")</f>
        <v>16.754098360655739</v>
      </c>
      <c r="L508" s="136" t="str">
        <f>IF(Tilmeldingsoversigt!$H$7="x",Morgenmad," ")</f>
        <v>Morgenmad</v>
      </c>
      <c r="M508" s="67">
        <f ca="1">IF(L508=Morgenmad,Tilmeldingsoversigt!$C$15," ")</f>
        <v>16.754098360655739</v>
      </c>
      <c r="N508" s="136" t="str">
        <f>IF(Tilmeldingsoversigt!$I$7="x",Morgenmad," ")</f>
        <v>Morgenmad</v>
      </c>
      <c r="O508" s="83">
        <f ca="1">IF(N508=Morgenmad,Tilmeldingsoversigt!$C$15," ")</f>
        <v>16.754098360655739</v>
      </c>
      <c r="P508" s="66"/>
    </row>
    <row r="509" spans="2:16" x14ac:dyDescent="0.25">
      <c r="B509" s="68" t="str">
        <f>IF(Tilmeldingsoversigt!$C$8="x",hovedret," ")</f>
        <v>Hovedret</v>
      </c>
      <c r="C509" s="69">
        <f ca="1">IF(B509=hovedret,Tilmeldingsoversigt!$C$16," ")</f>
        <v>55.016393442622949</v>
      </c>
      <c r="D509" s="68" t="str">
        <f>IF(Tilmeldingsoversigt!$D$8="x",hovedret," ")</f>
        <v>Hovedret</v>
      </c>
      <c r="E509" s="69">
        <f ca="1">IF(D509=hovedret,Tilmeldingsoversigt!$C$16," ")</f>
        <v>55.016393442622949</v>
      </c>
      <c r="F509" s="68" t="str">
        <f>IF(Tilmeldingsoversigt!$E$8="x",hovedret," ")</f>
        <v>Hovedret</v>
      </c>
      <c r="G509" s="69">
        <f ca="1">IF(F509=hovedret,Tilmeldingsoversigt!$C$16," ")</f>
        <v>55.016393442622949</v>
      </c>
      <c r="H509" s="68" t="str">
        <f>IF(Tilmeldingsoversigt!$F$8="x",hovedret," ")</f>
        <v>Hovedret</v>
      </c>
      <c r="I509" s="69">
        <f ca="1">IF(H509=hovedret,Tilmeldingsoversigt!$C$16," ")</f>
        <v>55.016393442622949</v>
      </c>
      <c r="J509" s="68" t="str">
        <f>IF(Tilmeldingsoversigt!$G$8="x",hovedret," ")</f>
        <v>Hovedret</v>
      </c>
      <c r="K509" s="69">
        <f ca="1">IF(J509=hovedret,Tilmeldingsoversigt!$C$16," ")</f>
        <v>55.016393442622949</v>
      </c>
      <c r="L509" s="68" t="str">
        <f>IF(Tilmeldingsoversigt!$H$8="x",hovedret," ")</f>
        <v>Hovedret</v>
      </c>
      <c r="M509" s="69">
        <f ca="1">IF(L509=hovedret,Tilmeldingsoversigt!$C$16," ")</f>
        <v>55.016393442622949</v>
      </c>
      <c r="N509" s="68" t="str">
        <f>IF(Tilmeldingsoversigt!$I$8="x",hovedret," ")</f>
        <v>Hovedret</v>
      </c>
      <c r="O509" s="70">
        <f ca="1">IF(N509=hovedret,Tilmeldingsoversigt!$C$16," ")</f>
        <v>55.016393442622949</v>
      </c>
      <c r="P509" s="66"/>
    </row>
    <row r="510" spans="2:16" x14ac:dyDescent="0.25">
      <c r="B510" s="68" t="str">
        <f>IF(Tilmeldingsoversigt!$C$9="x",Aftensmad," ")</f>
        <v>Aftensmad</v>
      </c>
      <c r="C510" s="69">
        <f ca="1">IF(B510=Aftensmad,Tilmeldingsoversigt!$C$17," ")</f>
        <v>27.540983606557376</v>
      </c>
      <c r="D510" s="68" t="str">
        <f>IF(Tilmeldingsoversigt!$D$9="x",Aftensmad," ")</f>
        <v>Aftensmad</v>
      </c>
      <c r="E510" s="69">
        <f ca="1">IF(D510=Aftensmad,Tilmeldingsoversigt!$C$17," ")</f>
        <v>27.540983606557376</v>
      </c>
      <c r="F510" s="68" t="str">
        <f>IF(Tilmeldingsoversigt!$E$9="x",Aftensmad," ")</f>
        <v>Aftensmad</v>
      </c>
      <c r="G510" s="69">
        <f ca="1">IF(F510=Aftensmad,Tilmeldingsoversigt!$C$17," ")</f>
        <v>27.540983606557376</v>
      </c>
      <c r="H510" s="68" t="str">
        <f>IF(Tilmeldingsoversigt!$F$9="x",Aftensmad," ")</f>
        <v>Aftensmad</v>
      </c>
      <c r="I510" s="69">
        <f ca="1">IF(H510=Aftensmad,Tilmeldingsoversigt!$C$17," ")</f>
        <v>27.540983606557376</v>
      </c>
      <c r="J510" s="68" t="str">
        <f>IF(Tilmeldingsoversigt!$G$9="x",Aftensmad," ")</f>
        <v>Aftensmad</v>
      </c>
      <c r="K510" s="69">
        <f ca="1">IF(J510=Aftensmad,Tilmeldingsoversigt!$C$17," ")</f>
        <v>27.540983606557376</v>
      </c>
      <c r="L510" s="68" t="str">
        <f>IF(Tilmeldingsoversigt!$H$9="x",Aftensmad," ")</f>
        <v>Aftensmad</v>
      </c>
      <c r="M510" s="69">
        <f ca="1">IF(L510=Aftensmad,Tilmeldingsoversigt!$C$17," ")</f>
        <v>27.540983606557376</v>
      </c>
      <c r="N510" s="68" t="str">
        <f>IF(Tilmeldingsoversigt!$I$9="x",Aftensmad," ")</f>
        <v>Aftensmad</v>
      </c>
      <c r="O510" s="70">
        <f ca="1">IF(N510=Aftensmad,Tilmeldingsoversigt!$C$17," ")</f>
        <v>27.540983606557376</v>
      </c>
      <c r="P510" s="66"/>
    </row>
    <row r="511" spans="2:16" x14ac:dyDescent="0.25">
      <c r="B511" s="68" t="str">
        <f>IF(Tilmeldingsoversigt!$C$10="x",biret," ")</f>
        <v>Biret</v>
      </c>
      <c r="C511" s="69">
        <f>IF(B511=biret,biretpris," ")</f>
        <v>0</v>
      </c>
      <c r="D511" s="68" t="str">
        <f>IF(Tilmeldingsoversigt!$D$10="x",biret," ")</f>
        <v>Biret</v>
      </c>
      <c r="E511" s="69">
        <f>IF(D511=biret,biretpris," ")</f>
        <v>0</v>
      </c>
      <c r="F511" s="68" t="str">
        <f>IF(Tilmeldingsoversigt!$E$10="x",biret," ")</f>
        <v>Biret</v>
      </c>
      <c r="G511" s="69">
        <f>IF(F511=biret,biretpris," ")</f>
        <v>0</v>
      </c>
      <c r="H511" s="68" t="str">
        <f>IF(Tilmeldingsoversigt!$F$10="x",biret," ")</f>
        <v>Biret</v>
      </c>
      <c r="I511" s="69">
        <f>IF(H511=biret,biretpris," ")</f>
        <v>0</v>
      </c>
      <c r="J511" s="68" t="str">
        <f>IF(Tilmeldingsoversigt!$G$10="x",biret," ")</f>
        <v>Biret</v>
      </c>
      <c r="K511" s="69">
        <f>IF(J511=biret,biretpris," ")</f>
        <v>0</v>
      </c>
      <c r="L511" s="68" t="str">
        <f>IF(Tilmeldingsoversigt!$H$10="x",biret," ")</f>
        <v>Biret</v>
      </c>
      <c r="M511" s="69">
        <f>IF(L511=biret,biretpris," ")</f>
        <v>0</v>
      </c>
      <c r="N511" s="68" t="str">
        <f>IF(Tilmeldingsoversigt!$I$10="x",biret," ")</f>
        <v>Biret</v>
      </c>
      <c r="O511" s="70">
        <f>IF(N511=biret,biretpris," ")</f>
        <v>0</v>
      </c>
      <c r="P511" s="66"/>
    </row>
    <row r="512" spans="2:16" x14ac:dyDescent="0.25">
      <c r="B512" s="71" t="str">
        <f>IF(Tilmeldingsoversigt!$C$11="x",mellemmåltid," ")</f>
        <v xml:space="preserve"> </v>
      </c>
      <c r="C512" s="72" t="str">
        <f>IF(B512=mellemmåltid,mellemmåltidspris," ")</f>
        <v xml:space="preserve"> </v>
      </c>
      <c r="D512" s="71" t="str">
        <f>IF(Tilmeldingsoversigt!$C$11="x",mellemmåltid," ")</f>
        <v xml:space="preserve"> </v>
      </c>
      <c r="E512" s="72" t="str">
        <f>IF(D512=mellemmåltid,mellemmåltidspris," ")</f>
        <v xml:space="preserve"> </v>
      </c>
      <c r="F512" s="71" t="str">
        <f>IF(Tilmeldingsoversigt!$C$11="x",mellemmåltid," ")</f>
        <v xml:space="preserve"> </v>
      </c>
      <c r="G512" s="72" t="str">
        <f>IF(F512=mellemmåltid,mellemmåltidspris," ")</f>
        <v xml:space="preserve"> </v>
      </c>
      <c r="H512" s="71" t="str">
        <f>IF(Tilmeldingsoversigt!$C$11="x",mellemmåltid," ")</f>
        <v xml:space="preserve"> </v>
      </c>
      <c r="I512" s="72" t="str">
        <f>IF(H512=mellemmåltid,mellemmåltidspris," ")</f>
        <v xml:space="preserve"> </v>
      </c>
      <c r="J512" s="71" t="str">
        <f>IF(Tilmeldingsoversigt!$C$11="x",mellemmåltid," ")</f>
        <v xml:space="preserve"> </v>
      </c>
      <c r="K512" s="72" t="str">
        <f>IF(J512=mellemmåltid,mellemmåltidspris," ")</f>
        <v xml:space="preserve"> </v>
      </c>
      <c r="L512" s="71" t="str">
        <f>IF(Tilmeldingsoversigt!$C$11="x",mellemmåltid," ")</f>
        <v xml:space="preserve"> </v>
      </c>
      <c r="M512" s="72" t="str">
        <f>IF(L512=mellemmåltid,mellemmåltidspris," ")</f>
        <v xml:space="preserve"> </v>
      </c>
      <c r="N512" s="71" t="str">
        <f>IF(Tilmeldingsoversigt!$C$11="x",mellemmåltid," ")</f>
        <v xml:space="preserve"> </v>
      </c>
      <c r="O512" s="73" t="str">
        <f>IF(N512=mellemmåltid,mellemmåltidspris," ")</f>
        <v xml:space="preserve"> </v>
      </c>
      <c r="P512" s="66"/>
    </row>
    <row r="513" spans="2:16" x14ac:dyDescent="0.25">
      <c r="B513" s="74" t="s">
        <v>44</v>
      </c>
      <c r="C513" s="11">
        <f ca="1">SUM(C508:C512)</f>
        <v>99.311475409836063</v>
      </c>
      <c r="D513" s="74"/>
      <c r="E513" s="11">
        <f ca="1">SUM(E508:E512)</f>
        <v>99.311475409836063</v>
      </c>
      <c r="F513" s="74"/>
      <c r="G513" s="11">
        <f ca="1">SUM(G508:G512)</f>
        <v>99.311475409836063</v>
      </c>
      <c r="H513" s="74"/>
      <c r="I513" s="11">
        <f ca="1">SUM(I508:I512)</f>
        <v>99.311475409836063</v>
      </c>
      <c r="J513" s="74"/>
      <c r="K513" s="11">
        <f ca="1">SUM(K508:K512)</f>
        <v>99.311475409836063</v>
      </c>
      <c r="L513" s="74"/>
      <c r="M513" s="11">
        <f ca="1">SUM(M508:M512)</f>
        <v>99.311475409836063</v>
      </c>
      <c r="N513" s="74"/>
      <c r="O513" s="12">
        <f ca="1">SUM(O508:O512)</f>
        <v>99.311475409836063</v>
      </c>
      <c r="P513" s="75">
        <f ca="1">SUM(C513,E513,G513,I513,K513,M513,O513)</f>
        <v>695.18032786885237</v>
      </c>
    </row>
    <row r="514" spans="2:16" x14ac:dyDescent="0.2">
      <c r="B514" s="76"/>
      <c r="C514" s="77"/>
      <c r="D514" s="77"/>
      <c r="E514" s="77"/>
      <c r="F514" s="77"/>
      <c r="G514" s="77"/>
      <c r="H514" s="77"/>
      <c r="I514" s="77"/>
      <c r="J514" s="77"/>
      <c r="K514" s="77"/>
      <c r="L514" s="77"/>
      <c r="M514" s="77"/>
      <c r="N514" s="77"/>
      <c r="O514" s="77"/>
      <c r="P514" s="76"/>
    </row>
    <row r="515" spans="2:16" ht="12.75" x14ac:dyDescent="0.25">
      <c r="B515" s="78">
        <f>DAY(IF(DAY(SepSøn1)=1,SepSøn1+22,SepSøn1+29))</f>
        <v>23</v>
      </c>
      <c r="C515" s="79"/>
      <c r="D515" s="78">
        <f>DAY(IF(DAY(SepSøn1)=1,SepSøn1+23,SepSøn1+30))</f>
        <v>24</v>
      </c>
      <c r="E515" s="79"/>
      <c r="F515" s="78">
        <f>DAY(IF(DAY(SepSøn1)=1,SepSøn1+24,SepSøn1+31))</f>
        <v>25</v>
      </c>
      <c r="G515" s="79"/>
      <c r="H515" s="78">
        <f>DAY(IF(DAY(SepSøn1)=1,SepSøn1+25,SepSøn1+32))</f>
        <v>26</v>
      </c>
      <c r="I515" s="79"/>
      <c r="J515" s="78">
        <f>DAY(IF(DAY(SepSøn1)=1,SepSøn1+26,SepSøn1+33))</f>
        <v>27</v>
      </c>
      <c r="K515" s="79"/>
      <c r="L515" s="78">
        <f>DAY(IF(DAY(SepSøn1)=1,SepSøn1+27,SepSøn1+34))</f>
        <v>28</v>
      </c>
      <c r="M515" s="79"/>
      <c r="N515" s="78">
        <f>DAY(IF(DAY(SepSøn1)=1,SepSøn1+28,SepSøn1+35))</f>
        <v>29</v>
      </c>
      <c r="O515" s="79"/>
      <c r="P515" s="85"/>
    </row>
    <row r="516" spans="2:16" x14ac:dyDescent="0.25">
      <c r="B516" s="64" t="s">
        <v>42</v>
      </c>
      <c r="C516" s="81" t="s">
        <v>43</v>
      </c>
      <c r="D516" s="64" t="s">
        <v>42</v>
      </c>
      <c r="E516" s="81" t="s">
        <v>43</v>
      </c>
      <c r="F516" s="64" t="s">
        <v>42</v>
      </c>
      <c r="G516" s="81" t="s">
        <v>43</v>
      </c>
      <c r="H516" s="64" t="s">
        <v>42</v>
      </c>
      <c r="I516" s="81" t="s">
        <v>43</v>
      </c>
      <c r="J516" s="64" t="s">
        <v>42</v>
      </c>
      <c r="K516" s="81" t="s">
        <v>43</v>
      </c>
      <c r="L516" s="64" t="s">
        <v>42</v>
      </c>
      <c r="M516" s="81" t="s">
        <v>43</v>
      </c>
      <c r="N516" s="64" t="s">
        <v>42</v>
      </c>
      <c r="O516" s="82" t="s">
        <v>43</v>
      </c>
      <c r="P516" s="66"/>
    </row>
    <row r="517" spans="2:16" x14ac:dyDescent="0.25">
      <c r="B517" s="136" t="str">
        <f>IF(Tilmeldingsoversigt!$C$7="x",Morgenmad," ")</f>
        <v>Morgenmad</v>
      </c>
      <c r="C517" s="67">
        <f ca="1">IF(B517=Morgenmad,Tilmeldingsoversigt!$C$15," ")</f>
        <v>16.754098360655739</v>
      </c>
      <c r="D517" s="136" t="str">
        <f>IF(Tilmeldingsoversigt!$D$7="x",Morgenmad," ")</f>
        <v>Morgenmad</v>
      </c>
      <c r="E517" s="67">
        <f ca="1">IF(D517=Morgenmad,Tilmeldingsoversigt!$C$15," ")</f>
        <v>16.754098360655739</v>
      </c>
      <c r="F517" s="136" t="str">
        <f>IF(Tilmeldingsoversigt!$E$7="x",Morgenmad," ")</f>
        <v>Morgenmad</v>
      </c>
      <c r="G517" s="67">
        <f ca="1">IF(F517=Morgenmad,Tilmeldingsoversigt!$C$15," ")</f>
        <v>16.754098360655739</v>
      </c>
      <c r="H517" s="136" t="str">
        <f>IF(Tilmeldingsoversigt!$F$7="x",Morgenmad," ")</f>
        <v>Morgenmad</v>
      </c>
      <c r="I517" s="67">
        <f ca="1">IF(H517=Morgenmad,Tilmeldingsoversigt!$C$15," ")</f>
        <v>16.754098360655739</v>
      </c>
      <c r="J517" s="136" t="str">
        <f>IF(Tilmeldingsoversigt!$G$7="x",Morgenmad," ")</f>
        <v>Morgenmad</v>
      </c>
      <c r="K517" s="67">
        <f ca="1">IF(J517=Morgenmad,Tilmeldingsoversigt!$C$15," ")</f>
        <v>16.754098360655739</v>
      </c>
      <c r="L517" s="136"/>
      <c r="M517" s="67"/>
      <c r="N517" s="139"/>
      <c r="O517" s="86"/>
      <c r="P517" s="66"/>
    </row>
    <row r="518" spans="2:16" x14ac:dyDescent="0.25">
      <c r="B518" s="68" t="str">
        <f>IF(Tilmeldingsoversigt!$C$8="x",hovedret," ")</f>
        <v>Hovedret</v>
      </c>
      <c r="C518" s="69">
        <f ca="1">IF(B518=hovedret,Tilmeldingsoversigt!$C$16," ")</f>
        <v>55.016393442622949</v>
      </c>
      <c r="D518" s="68" t="str">
        <f>IF(Tilmeldingsoversigt!$D$8="x",hovedret," ")</f>
        <v>Hovedret</v>
      </c>
      <c r="E518" s="69">
        <f ca="1">IF(D518=hovedret,Tilmeldingsoversigt!$C$16," ")</f>
        <v>55.016393442622949</v>
      </c>
      <c r="F518" s="68" t="str">
        <f>IF(Tilmeldingsoversigt!$E$8="x",hovedret," ")</f>
        <v>Hovedret</v>
      </c>
      <c r="G518" s="69">
        <f ca="1">IF(F518=hovedret,Tilmeldingsoversigt!$C$16," ")</f>
        <v>55.016393442622949</v>
      </c>
      <c r="H518" s="68" t="str">
        <f>IF(Tilmeldingsoversigt!$F$8="x",hovedret," ")</f>
        <v>Hovedret</v>
      </c>
      <c r="I518" s="69">
        <f ca="1">IF(H518=hovedret,Tilmeldingsoversigt!$C$16," ")</f>
        <v>55.016393442622949</v>
      </c>
      <c r="J518" s="68" t="str">
        <f>IF(Tilmeldingsoversigt!$G$8="x",hovedret," ")</f>
        <v>Hovedret</v>
      </c>
      <c r="K518" s="69">
        <f ca="1">IF(J518=hovedret,Tilmeldingsoversigt!$C$16," ")</f>
        <v>55.016393442622949</v>
      </c>
      <c r="L518" s="68"/>
      <c r="M518" s="69"/>
      <c r="N518" s="87"/>
      <c r="O518" s="88"/>
      <c r="P518" s="66"/>
    </row>
    <row r="519" spans="2:16" x14ac:dyDescent="0.25">
      <c r="B519" s="68" t="str">
        <f>IF(Tilmeldingsoversigt!$C$9="x",Aftensmad," ")</f>
        <v>Aftensmad</v>
      </c>
      <c r="C519" s="69">
        <f ca="1">IF(B519=Aftensmad,Tilmeldingsoversigt!$C$17," ")</f>
        <v>27.540983606557376</v>
      </c>
      <c r="D519" s="68" t="str">
        <f>IF(Tilmeldingsoversigt!$D$9="x",Aftensmad," ")</f>
        <v>Aftensmad</v>
      </c>
      <c r="E519" s="69">
        <f ca="1">IF(D519=Aftensmad,Tilmeldingsoversigt!$C$17," ")</f>
        <v>27.540983606557376</v>
      </c>
      <c r="F519" s="68" t="str">
        <f>IF(Tilmeldingsoversigt!$E$9="x",Aftensmad," ")</f>
        <v>Aftensmad</v>
      </c>
      <c r="G519" s="69">
        <f ca="1">IF(F519=Aftensmad,Tilmeldingsoversigt!$C$17," ")</f>
        <v>27.540983606557376</v>
      </c>
      <c r="H519" s="68" t="str">
        <f>IF(Tilmeldingsoversigt!$F$9="x",Aftensmad," ")</f>
        <v>Aftensmad</v>
      </c>
      <c r="I519" s="69">
        <f ca="1">IF(H519=Aftensmad,Tilmeldingsoversigt!$C$17," ")</f>
        <v>27.540983606557376</v>
      </c>
      <c r="J519" s="68" t="str">
        <f>IF(Tilmeldingsoversigt!$G$9="x",Aftensmad," ")</f>
        <v>Aftensmad</v>
      </c>
      <c r="K519" s="69">
        <f ca="1">IF(J519=Aftensmad,Tilmeldingsoversigt!$C$17," ")</f>
        <v>27.540983606557376</v>
      </c>
      <c r="L519" s="68"/>
      <c r="M519" s="69"/>
      <c r="N519" s="87"/>
      <c r="O519" s="88"/>
      <c r="P519" s="66"/>
    </row>
    <row r="520" spans="2:16" x14ac:dyDescent="0.25">
      <c r="B520" s="68" t="str">
        <f>IF(Tilmeldingsoversigt!$C$10="x",biret," ")</f>
        <v>Biret</v>
      </c>
      <c r="C520" s="69">
        <f>IF(B520=biret,biretpris," ")</f>
        <v>0</v>
      </c>
      <c r="D520" s="68" t="str">
        <f>IF(Tilmeldingsoversigt!$D$10="x",biret," ")</f>
        <v>Biret</v>
      </c>
      <c r="E520" s="69">
        <f>IF(D520=biret,biretpris," ")</f>
        <v>0</v>
      </c>
      <c r="F520" s="68" t="str">
        <f>IF(Tilmeldingsoversigt!$E$10="x",biret," ")</f>
        <v>Biret</v>
      </c>
      <c r="G520" s="69">
        <f>IF(F520=biret,biretpris," ")</f>
        <v>0</v>
      </c>
      <c r="H520" s="68" t="str">
        <f>IF(Tilmeldingsoversigt!$F$10="x",biret," ")</f>
        <v>Biret</v>
      </c>
      <c r="I520" s="69">
        <f>IF(H520=biret,biretpris," ")</f>
        <v>0</v>
      </c>
      <c r="J520" s="68" t="str">
        <f>IF(Tilmeldingsoversigt!$G$10="x",biret," ")</f>
        <v>Biret</v>
      </c>
      <c r="K520" s="69">
        <f>IF(J520=biret,biretpris," ")</f>
        <v>0</v>
      </c>
      <c r="L520" s="68"/>
      <c r="M520" s="69"/>
      <c r="N520" s="68"/>
      <c r="O520" s="70"/>
      <c r="P520" s="66"/>
    </row>
    <row r="521" spans="2:16" x14ac:dyDescent="0.25">
      <c r="B521" s="71" t="str">
        <f>IF(Tilmeldingsoversigt!$C$11="x",mellemmåltid," ")</f>
        <v xml:space="preserve"> </v>
      </c>
      <c r="C521" s="72" t="str">
        <f>IF(B521=mellemmåltid,mellemmåltidspris," ")</f>
        <v xml:space="preserve"> </v>
      </c>
      <c r="D521" s="71" t="str">
        <f>IF(Tilmeldingsoversigt!$C$11="x",mellemmåltid," ")</f>
        <v xml:space="preserve"> </v>
      </c>
      <c r="E521" s="72" t="str">
        <f>IF(D521=mellemmåltid,mellemmåltidspris," ")</f>
        <v xml:space="preserve"> </v>
      </c>
      <c r="F521" s="71" t="str">
        <f>IF(Tilmeldingsoversigt!$C$11="x",mellemmåltid," ")</f>
        <v xml:space="preserve"> </v>
      </c>
      <c r="G521" s="72" t="str">
        <f>IF(F521=mellemmåltid,mellemmåltidspris," ")</f>
        <v xml:space="preserve"> </v>
      </c>
      <c r="H521" s="71" t="str">
        <f>IF(Tilmeldingsoversigt!$C$11="x",mellemmåltid," ")</f>
        <v xml:space="preserve"> </v>
      </c>
      <c r="I521" s="72" t="str">
        <f>IF(H521=mellemmåltid,mellemmåltidspris," ")</f>
        <v xml:space="preserve"> </v>
      </c>
      <c r="J521" s="71" t="str">
        <f>IF(Tilmeldingsoversigt!$C$11="x",mellemmåltid," ")</f>
        <v xml:space="preserve"> </v>
      </c>
      <c r="K521" s="72" t="str">
        <f>IF(J521=mellemmåltid,mellemmåltidspris," ")</f>
        <v xml:space="preserve"> </v>
      </c>
      <c r="L521" s="71"/>
      <c r="M521" s="72"/>
      <c r="N521" s="71"/>
      <c r="O521" s="73"/>
      <c r="P521" s="66"/>
    </row>
    <row r="522" spans="2:16" x14ac:dyDescent="0.25">
      <c r="B522" s="74" t="s">
        <v>44</v>
      </c>
      <c r="C522" s="11">
        <f ca="1">SUM(C517:C521)</f>
        <v>99.311475409836063</v>
      </c>
      <c r="D522" s="74"/>
      <c r="E522" s="11">
        <f ca="1">SUM(E517:E521)</f>
        <v>99.311475409836063</v>
      </c>
      <c r="F522" s="74"/>
      <c r="G522" s="11">
        <f ca="1">SUM(G517:G521)</f>
        <v>99.311475409836063</v>
      </c>
      <c r="H522" s="74"/>
      <c r="I522" s="11">
        <f ca="1">SUM(I517:I521)</f>
        <v>99.311475409836063</v>
      </c>
      <c r="J522" s="74"/>
      <c r="K522" s="11">
        <f ca="1">SUM(K517:K521)</f>
        <v>99.311475409836063</v>
      </c>
      <c r="L522" s="74"/>
      <c r="M522" s="11">
        <f>SUM(M517:M521)</f>
        <v>0</v>
      </c>
      <c r="N522" s="74"/>
      <c r="O522" s="12">
        <f>SUM(O517:O521)</f>
        <v>0</v>
      </c>
      <c r="P522" s="75">
        <f ca="1">SUMIF(B515:N515,"&gt;="&amp;15,C522:O522)</f>
        <v>496.55737704918033</v>
      </c>
    </row>
    <row r="523" spans="2:16" x14ac:dyDescent="0.2">
      <c r="B523" s="76"/>
      <c r="C523" s="77"/>
      <c r="D523" s="77"/>
      <c r="E523" s="77"/>
      <c r="F523" s="77"/>
      <c r="G523" s="77"/>
      <c r="H523" s="77"/>
      <c r="I523" s="77"/>
      <c r="J523" s="77"/>
      <c r="K523" s="77"/>
      <c r="L523" s="77"/>
      <c r="M523" s="77"/>
      <c r="N523" s="77"/>
      <c r="O523" s="77"/>
      <c r="P523" s="76"/>
    </row>
    <row r="524" spans="2:16" ht="12.75" hidden="1" x14ac:dyDescent="0.25">
      <c r="B524" s="78">
        <f>DAY(IF(DAY(SepSøn1)=1,SepSøn1+29,SepSøn1+36))</f>
        <v>30</v>
      </c>
      <c r="C524" s="91"/>
      <c r="D524" s="78">
        <f>DAY(IF(DAY(SepSøn1)=1,SepSøn1+30,SepSøn1+37))</f>
        <v>1</v>
      </c>
      <c r="E524" s="79"/>
      <c r="F524" s="92">
        <f>DAY(IF(DAY(SepSøn1)=1,SepSøn1+31,SepSøn1+38))</f>
        <v>2</v>
      </c>
      <c r="G524" s="79"/>
      <c r="H524" s="78">
        <f>DAY(IF(DAY(SepSøn1)=1,SepSøn1+32,SepSøn1+39))</f>
        <v>3</v>
      </c>
      <c r="I524" s="79"/>
      <c r="J524" s="78">
        <f>DAY(IF(DAY(SepSøn1)=1,SepSøn1+33,SepSøn1+40))</f>
        <v>4</v>
      </c>
      <c r="K524" s="79"/>
      <c r="L524" s="78">
        <f>DAY(IF(DAY(SepSøn1)=1,SepSøn1+34,SepSøn1+41))</f>
        <v>5</v>
      </c>
      <c r="M524" s="79"/>
      <c r="N524" s="78">
        <f>DAY(IF(DAY(SepSøn1)=1,SepSøn1+35,SepSøn1+42))</f>
        <v>6</v>
      </c>
      <c r="O524" s="79"/>
      <c r="P524" s="85"/>
    </row>
    <row r="525" spans="2:16" hidden="1" x14ac:dyDescent="0.25">
      <c r="B525" s="64" t="s">
        <v>42</v>
      </c>
      <c r="C525" s="81" t="s">
        <v>43</v>
      </c>
      <c r="D525" s="64" t="s">
        <v>42</v>
      </c>
      <c r="E525" s="81" t="s">
        <v>43</v>
      </c>
      <c r="F525" s="64" t="s">
        <v>42</v>
      </c>
      <c r="G525" s="81" t="s">
        <v>43</v>
      </c>
      <c r="H525" s="64" t="s">
        <v>42</v>
      </c>
      <c r="I525" s="81" t="s">
        <v>43</v>
      </c>
      <c r="J525" s="64" t="s">
        <v>42</v>
      </c>
      <c r="K525" s="81" t="s">
        <v>43</v>
      </c>
      <c r="L525" s="64" t="s">
        <v>42</v>
      </c>
      <c r="M525" s="81" t="s">
        <v>43</v>
      </c>
      <c r="N525" s="64" t="s">
        <v>42</v>
      </c>
      <c r="O525" s="82" t="s">
        <v>43</v>
      </c>
      <c r="P525" s="66"/>
    </row>
    <row r="526" spans="2:16" hidden="1" x14ac:dyDescent="0.25">
      <c r="B526" s="136"/>
      <c r="C526" s="67"/>
      <c r="D526" s="136"/>
      <c r="E526" s="67"/>
      <c r="F526" s="136"/>
      <c r="G526" s="67"/>
      <c r="H526" s="136"/>
      <c r="I526" s="67"/>
      <c r="J526" s="136"/>
      <c r="K526" s="67"/>
      <c r="L526" s="136"/>
      <c r="M526" s="67"/>
      <c r="N526" s="136"/>
      <c r="O526" s="83" t="str">
        <f>IF(N526=Morgenmad,Tilmeldingsoversigt!$C$15," ")</f>
        <v xml:space="preserve"> </v>
      </c>
      <c r="P526" s="66"/>
    </row>
    <row r="527" spans="2:16" hidden="1" x14ac:dyDescent="0.25">
      <c r="B527" s="68"/>
      <c r="C527" s="69"/>
      <c r="D527" s="68"/>
      <c r="E527" s="69"/>
      <c r="F527" s="68"/>
      <c r="G527" s="69"/>
      <c r="H527" s="68"/>
      <c r="I527" s="69"/>
      <c r="J527" s="68"/>
      <c r="K527" s="69"/>
      <c r="L527" s="68"/>
      <c r="M527" s="69"/>
      <c r="N527" s="68"/>
      <c r="O527" s="70" t="str">
        <f>IF(N527=hovedret,Tilmeldingsoversigt!$C$16," ")</f>
        <v xml:space="preserve"> </v>
      </c>
      <c r="P527" s="66"/>
    </row>
    <row r="528" spans="2:16" hidden="1" x14ac:dyDescent="0.25">
      <c r="B528" s="68"/>
      <c r="C528" s="69"/>
      <c r="D528" s="68"/>
      <c r="E528" s="69"/>
      <c r="F528" s="68"/>
      <c r="G528" s="69"/>
      <c r="H528" s="68"/>
      <c r="I528" s="69"/>
      <c r="J528" s="68"/>
      <c r="K528" s="69"/>
      <c r="L528" s="68"/>
      <c r="M528" s="69"/>
      <c r="N528" s="68"/>
      <c r="O528" s="70" t="str">
        <f>IF(N528=Aftensmad,Tilmeldingsoversigt!$C$17," ")</f>
        <v xml:space="preserve"> </v>
      </c>
      <c r="P528" s="66"/>
    </row>
    <row r="529" spans="2:16" hidden="1" x14ac:dyDescent="0.25">
      <c r="B529" s="68"/>
      <c r="C529" s="69"/>
      <c r="D529" s="68"/>
      <c r="E529" s="69"/>
      <c r="F529" s="68"/>
      <c r="G529" s="69"/>
      <c r="H529" s="68"/>
      <c r="I529" s="69"/>
      <c r="J529" s="68"/>
      <c r="K529" s="69"/>
      <c r="L529" s="68"/>
      <c r="M529" s="69"/>
      <c r="N529" s="68"/>
      <c r="O529" s="70"/>
      <c r="P529" s="66"/>
    </row>
    <row r="530" spans="2:16" hidden="1" x14ac:dyDescent="0.25">
      <c r="B530" s="71"/>
      <c r="C530" s="72"/>
      <c r="D530" s="71"/>
      <c r="E530" s="72"/>
      <c r="F530" s="71"/>
      <c r="G530" s="72"/>
      <c r="H530" s="71"/>
      <c r="I530" s="72"/>
      <c r="J530" s="71"/>
      <c r="K530" s="72"/>
      <c r="L530" s="71"/>
      <c r="M530" s="72"/>
      <c r="N530" s="71"/>
      <c r="O530" s="73"/>
      <c r="P530" s="66"/>
    </row>
    <row r="531" spans="2:16" hidden="1" x14ac:dyDescent="0.25">
      <c r="B531" s="74" t="s">
        <v>44</v>
      </c>
      <c r="C531" s="11">
        <f>SUM(C526:C530)</f>
        <v>0</v>
      </c>
      <c r="D531" s="74"/>
      <c r="E531" s="11">
        <f>SUM(E526:E530)</f>
        <v>0</v>
      </c>
      <c r="F531" s="74"/>
      <c r="G531" s="11">
        <f>SUM(G526:G530)</f>
        <v>0</v>
      </c>
      <c r="H531" s="74"/>
      <c r="I531" s="11">
        <f>SUM(I526:I530)</f>
        <v>0</v>
      </c>
      <c r="J531" s="74"/>
      <c r="K531" s="11">
        <f>SUM(K526:K530)</f>
        <v>0</v>
      </c>
      <c r="L531" s="74"/>
      <c r="M531" s="11">
        <f>SUM(M526:M530)</f>
        <v>0</v>
      </c>
      <c r="N531" s="74"/>
      <c r="O531" s="12">
        <f>SUM(O526:O530)</f>
        <v>0</v>
      </c>
      <c r="P531" s="75">
        <f>SUMIF(B524:N524,"&gt;="&amp;15,C531:O531)</f>
        <v>0</v>
      </c>
    </row>
    <row r="532" spans="2:16" ht="17.25" customHeight="1" x14ac:dyDescent="0.2"/>
    <row r="533" spans="2:16" ht="15" x14ac:dyDescent="0.25">
      <c r="B533" s="246" t="s">
        <v>53</v>
      </c>
      <c r="C533" s="246"/>
      <c r="D533" s="246"/>
      <c r="E533" s="246"/>
      <c r="F533" s="51" t="s">
        <v>82</v>
      </c>
      <c r="G533" s="51"/>
      <c r="H533" s="51"/>
      <c r="I533" s="51"/>
      <c r="J533" s="51"/>
      <c r="K533" s="51"/>
      <c r="L533" s="247" t="s">
        <v>83</v>
      </c>
      <c r="M533" s="247"/>
      <c r="N533" s="247" t="s">
        <v>85</v>
      </c>
      <c r="O533" s="247"/>
      <c r="P533" s="49"/>
    </row>
    <row r="534" spans="2:16" ht="25.5" customHeight="1" x14ac:dyDescent="0.25">
      <c r="B534" s="246"/>
      <c r="C534" s="246"/>
      <c r="D534" s="246"/>
      <c r="E534" s="246"/>
      <c r="F534" s="97" t="str">
        <f>Morgenmad</f>
        <v>Morgenmad</v>
      </c>
      <c r="G534" s="97">
        <f ca="1">IF(oktober_sum=0,0,(COUNTIF($B$540:$O$589,F534)-'Tilmeldte måltider'!G542))</f>
        <v>0</v>
      </c>
      <c r="H534" s="97" t="str">
        <f>hovedret</f>
        <v>Hovedret</v>
      </c>
      <c r="I534" s="97">
        <f ca="1">IF(oktober_sum=0,0,(COUNTIF(B539:O588,hovedret)-'Tilmeldte måltider'!I542))</f>
        <v>0</v>
      </c>
      <c r="J534" s="97" t="str">
        <f>Aftensmad</f>
        <v>Aftensmad</v>
      </c>
      <c r="K534" s="97">
        <f ca="1">IF(oktober_sum=0,0,(COUNTIF(B539:O588,Aftensmad)-'Tilmeldte måltider'!K542))</f>
        <v>0</v>
      </c>
      <c r="L534" s="268" t="e">
        <f ca="1">(G534*Morgenpris)+(I534*Frokostpris)+(K534*Aftenpris)+(G535*biretpris)+(I535*mellemmåltidspris)+(M535*gæstehpris)+(O535*gæstebpris)</f>
        <v>#VALUE!</v>
      </c>
      <c r="M534" s="269"/>
      <c r="N534" s="270" t="e">
        <f ca="1">$L$357+$L$416+$L$475+$L$534+$L$593+$L$652</f>
        <v>#VALUE!</v>
      </c>
      <c r="O534" s="271"/>
      <c r="P534" s="49"/>
    </row>
    <row r="535" spans="2:16" ht="25.5" customHeight="1" x14ac:dyDescent="0.45">
      <c r="B535" s="121"/>
      <c r="C535" s="121"/>
      <c r="D535" s="121"/>
      <c r="E535" s="121"/>
      <c r="F535" s="98" t="str">
        <f>biret</f>
        <v>Biret</v>
      </c>
      <c r="G535" s="97">
        <f ca="1">IF(oktober_sum=0,0,(COUNTIF($B$540:$O$589,F535)-'Tilmeldte måltider'!G543))</f>
        <v>0</v>
      </c>
      <c r="H535" s="98" t="str">
        <f>mellemmåltid</f>
        <v>Mellemmåltid</v>
      </c>
      <c r="I535" s="97">
        <f ca="1">IF(oktober_sum=0,0,(COUNTIF($B$540:$O$589,H535)-'Tilmeldte måltider'!I543))</f>
        <v>0</v>
      </c>
      <c r="J535" s="140" t="s">
        <v>105</v>
      </c>
      <c r="K535" s="140"/>
      <c r="L535" s="141" t="s">
        <v>25</v>
      </c>
      <c r="M535" s="100"/>
      <c r="N535" s="141" t="s">
        <v>15</v>
      </c>
      <c r="O535" s="100"/>
      <c r="P535" s="49"/>
    </row>
    <row r="536" spans="2:16" ht="9" customHeight="1" x14ac:dyDescent="0.2">
      <c r="B536" s="251">
        <v>1</v>
      </c>
      <c r="C536" s="251"/>
      <c r="D536" s="251">
        <v>2</v>
      </c>
      <c r="E536" s="251"/>
      <c r="F536" s="251">
        <v>3</v>
      </c>
      <c r="G536" s="251"/>
      <c r="H536" s="251">
        <v>4</v>
      </c>
      <c r="I536" s="251"/>
      <c r="J536" s="251">
        <v>5</v>
      </c>
      <c r="K536" s="251"/>
      <c r="L536" s="251">
        <v>6</v>
      </c>
      <c r="M536" s="251"/>
      <c r="N536" s="251">
        <v>7</v>
      </c>
      <c r="O536" s="251"/>
      <c r="P536" s="50"/>
    </row>
    <row r="537" spans="2:16" ht="15" customHeight="1" x14ac:dyDescent="0.25">
      <c r="B537" s="252" t="s">
        <v>34</v>
      </c>
      <c r="C537" s="253"/>
      <c r="D537" s="254" t="s">
        <v>35</v>
      </c>
      <c r="E537" s="255" t="e">
        <f>IF(WEEKDAY(DATEVALUE(Month1&amp;" 1, "&amp;Year1))=COLUMN(#REF!),1,IF(LEN(C537)&gt;0,C537+1,""))</f>
        <v>#NAME?</v>
      </c>
      <c r="F537" s="253" t="s">
        <v>36</v>
      </c>
      <c r="G537" s="253" t="e">
        <f>IF(WEEKDAY(DATEVALUE(Month1&amp;" 1, "&amp;Year1))=COLUMN(#REF!),1,IF(LEN(E537)&gt;0,E537+1,""))</f>
        <v>#NAME?</v>
      </c>
      <c r="H537" s="254" t="s">
        <v>37</v>
      </c>
      <c r="I537" s="255" t="e">
        <f>IF(WEEKDAY(DATEVALUE(Month1&amp;" 1, "&amp;Year1))=COLUMN(#REF!),1,IF(LEN(G537)&gt;0,G537+1,""))</f>
        <v>#NAME?</v>
      </c>
      <c r="J537" s="256" t="s">
        <v>38</v>
      </c>
      <c r="K537" s="257" t="e">
        <f>IF(WEEKDAY(DATEVALUE(Month1&amp;" 1, "&amp;Year1))=COLUMN(#REF!),1,IF(LEN(I537)&gt;0,I537+1,""))</f>
        <v>#NAME?</v>
      </c>
      <c r="L537" s="258" t="s">
        <v>39</v>
      </c>
      <c r="M537" s="259" t="e">
        <f>IF(WEEKDAY(DATEVALUE(Month1&amp;" 1, "&amp;Year1))=COLUMN(#REF!),1,IF(LEN(K537)&gt;0,K537+1,""))</f>
        <v>#NAME?</v>
      </c>
      <c r="N537" s="258" t="s">
        <v>40</v>
      </c>
      <c r="O537" s="259" t="e">
        <f>IF(WEEKDAY(DATEVALUE(Month1&amp;" 1, "&amp;Year1))=COLUMN(#REF!),1,IF(LEN(M537)&gt;0,M537+1,""))</f>
        <v>#NAME?</v>
      </c>
      <c r="P537" s="53" t="s">
        <v>41</v>
      </c>
    </row>
    <row r="538" spans="2:16" ht="12.75" x14ac:dyDescent="0.25">
      <c r="B538" s="55">
        <f>DAY(IF(DAY(OktSøn1)=1,OktSøn1-6,OktSøn1+1))</f>
        <v>30</v>
      </c>
      <c r="C538" s="56"/>
      <c r="D538" s="57">
        <f>DAY(IF(DAY(OktSøn1)=1,OktSøn1-5,OktSøn1+2))</f>
        <v>1</v>
      </c>
      <c r="E538" s="56"/>
      <c r="F538" s="57">
        <f>DAY(IF(DAY(OktSøn1)=1,OktSøn1-4,OktSøn1+3))</f>
        <v>2</v>
      </c>
      <c r="G538" s="56"/>
      <c r="H538" s="57">
        <f>DAY(IF(DAY(OktSøn1)=1,OktSøn1-3,OktSøn1+4))</f>
        <v>3</v>
      </c>
      <c r="I538" s="56"/>
      <c r="J538" s="57">
        <f>DAY(IF(DAY(OktSøn1)=1,OktSøn1-2,OktSøn1+5))</f>
        <v>4</v>
      </c>
      <c r="K538" s="56"/>
      <c r="L538" s="57">
        <f>DAY(IF(DAY(OktSøn1)=1,OktSøn1-1,OktSøn1+6))</f>
        <v>5</v>
      </c>
      <c r="M538" s="56"/>
      <c r="N538" s="58">
        <f>DAY(IF(DAY(OktSøn1)=1,OktSøn1,OktSøn1+7))</f>
        <v>6</v>
      </c>
      <c r="O538" s="59"/>
      <c r="P538" s="60"/>
    </row>
    <row r="539" spans="2:16" x14ac:dyDescent="0.25">
      <c r="B539" s="61" t="s">
        <v>42</v>
      </c>
      <c r="C539" s="62" t="s">
        <v>43</v>
      </c>
      <c r="D539" s="63" t="s">
        <v>42</v>
      </c>
      <c r="E539" s="62" t="s">
        <v>43</v>
      </c>
      <c r="F539" s="63" t="s">
        <v>42</v>
      </c>
      <c r="G539" s="62" t="s">
        <v>43</v>
      </c>
      <c r="H539" s="63" t="s">
        <v>42</v>
      </c>
      <c r="I539" s="62" t="s">
        <v>43</v>
      </c>
      <c r="J539" s="63" t="s">
        <v>42</v>
      </c>
      <c r="K539" s="62" t="s">
        <v>43</v>
      </c>
      <c r="L539" s="63" t="s">
        <v>42</v>
      </c>
      <c r="M539" s="62" t="s">
        <v>43</v>
      </c>
      <c r="N539" s="64" t="s">
        <v>42</v>
      </c>
      <c r="O539" s="65" t="s">
        <v>43</v>
      </c>
      <c r="P539" s="66"/>
    </row>
    <row r="540" spans="2:16" x14ac:dyDescent="0.25">
      <c r="B540" s="136"/>
      <c r="C540" s="67"/>
      <c r="D540" s="136"/>
      <c r="E540" s="67"/>
      <c r="F540" s="136"/>
      <c r="G540" s="67"/>
      <c r="H540" s="136"/>
      <c r="I540" s="67"/>
      <c r="J540" s="136"/>
      <c r="K540" s="67"/>
      <c r="L540" s="136" t="str">
        <f>IF(Tilmeldingsoversigt!$H$7="x",Morgenmad," ")</f>
        <v>Morgenmad</v>
      </c>
      <c r="M540" s="67">
        <f ca="1">IF(L540=Morgenmad,Tilmeldingsoversigt!$C$15," ")</f>
        <v>16.754098360655739</v>
      </c>
      <c r="N540" s="136" t="str">
        <f>IF(Tilmeldingsoversigt!$I$7="x",Morgenmad," ")</f>
        <v>Morgenmad</v>
      </c>
      <c r="O540" s="83">
        <f ca="1">IF(N540=Morgenmad,Tilmeldingsoversigt!$C$15," ")</f>
        <v>16.754098360655739</v>
      </c>
      <c r="P540" s="66"/>
    </row>
    <row r="541" spans="2:16" x14ac:dyDescent="0.25">
      <c r="B541" s="68"/>
      <c r="C541" s="69"/>
      <c r="D541" s="68"/>
      <c r="E541" s="69"/>
      <c r="F541" s="68"/>
      <c r="G541" s="69"/>
      <c r="H541" s="68"/>
      <c r="I541" s="69"/>
      <c r="J541" s="68"/>
      <c r="K541" s="69"/>
      <c r="L541" s="68" t="str">
        <f>IF(Tilmeldingsoversigt!$H$8="x",hovedret," ")</f>
        <v>Hovedret</v>
      </c>
      <c r="M541" s="69">
        <f ca="1">IF(L541=hovedret,Tilmeldingsoversigt!$C$16," ")</f>
        <v>55.016393442622949</v>
      </c>
      <c r="N541" s="68" t="str">
        <f>IF(Tilmeldingsoversigt!$I$8="x",hovedret," ")</f>
        <v>Hovedret</v>
      </c>
      <c r="O541" s="70">
        <f ca="1">IF(N541=hovedret,Tilmeldingsoversigt!$C$16," ")</f>
        <v>55.016393442622949</v>
      </c>
      <c r="P541" s="66"/>
    </row>
    <row r="542" spans="2:16" x14ac:dyDescent="0.25">
      <c r="B542" s="68"/>
      <c r="C542" s="69"/>
      <c r="D542" s="68"/>
      <c r="E542" s="69"/>
      <c r="F542" s="68"/>
      <c r="G542" s="69"/>
      <c r="H542" s="68"/>
      <c r="I542" s="69"/>
      <c r="J542" s="68"/>
      <c r="K542" s="69"/>
      <c r="L542" s="68" t="str">
        <f>IF(Tilmeldingsoversigt!$H$9="x",Aftensmad," ")</f>
        <v>Aftensmad</v>
      </c>
      <c r="M542" s="69">
        <f ca="1">IF(L542=Aftensmad,Tilmeldingsoversigt!$C$17," ")</f>
        <v>27.540983606557376</v>
      </c>
      <c r="N542" s="68" t="str">
        <f>IF(Tilmeldingsoversigt!$I$9="x",Aftensmad," ")</f>
        <v>Aftensmad</v>
      </c>
      <c r="O542" s="70">
        <f ca="1">IF(N542=Aftensmad,Tilmeldingsoversigt!$C$17," ")</f>
        <v>27.540983606557376</v>
      </c>
      <c r="P542" s="66"/>
    </row>
    <row r="543" spans="2:16" x14ac:dyDescent="0.25">
      <c r="B543" s="68"/>
      <c r="C543" s="69"/>
      <c r="D543" s="68"/>
      <c r="E543" s="69"/>
      <c r="F543" s="68"/>
      <c r="G543" s="69"/>
      <c r="H543" s="68"/>
      <c r="I543" s="69"/>
      <c r="J543" s="68"/>
      <c r="K543" s="69"/>
      <c r="L543" s="68" t="str">
        <f>IF(Tilmeldingsoversigt!$H$10="x",biret," ")</f>
        <v>Biret</v>
      </c>
      <c r="M543" s="69">
        <f>IF(L543=biret,biretpris," ")</f>
        <v>0</v>
      </c>
      <c r="N543" s="68" t="str">
        <f>IF(Tilmeldingsoversigt!$I$10="x",biret," ")</f>
        <v>Biret</v>
      </c>
      <c r="O543" s="70">
        <f>IF(N543=biret,biretpris," ")</f>
        <v>0</v>
      </c>
      <c r="P543" s="66"/>
    </row>
    <row r="544" spans="2:16" x14ac:dyDescent="0.25">
      <c r="B544" s="71"/>
      <c r="C544" s="72"/>
      <c r="D544" s="71"/>
      <c r="E544" s="72"/>
      <c r="F544" s="71"/>
      <c r="G544" s="72"/>
      <c r="H544" s="71"/>
      <c r="I544" s="72"/>
      <c r="J544" s="71"/>
      <c r="K544" s="72"/>
      <c r="L544" s="71" t="str">
        <f>IF(Tilmeldingsoversigt!$C$11="x",mellemmåltid," ")</f>
        <v xml:space="preserve"> </v>
      </c>
      <c r="M544" s="72" t="str">
        <f>IF(L544=mellemmåltid,mellemmåltidspris," ")</f>
        <v xml:space="preserve"> </v>
      </c>
      <c r="N544" s="71" t="str">
        <f>IF(Tilmeldingsoversigt!$C$11="x",mellemmåltid," ")</f>
        <v xml:space="preserve"> </v>
      </c>
      <c r="O544" s="73" t="str">
        <f>IF(N544=mellemmåltid,mellemmåltidspris," ")</f>
        <v xml:space="preserve"> </v>
      </c>
      <c r="P544" s="66"/>
    </row>
    <row r="545" spans="2:16" x14ac:dyDescent="0.25">
      <c r="B545" s="74"/>
      <c r="C545" s="11"/>
      <c r="D545" s="74"/>
      <c r="E545" s="11"/>
      <c r="F545" s="74"/>
      <c r="G545" s="11"/>
      <c r="H545" s="74"/>
      <c r="I545" s="11">
        <f>SUM(I540:I544)</f>
        <v>0</v>
      </c>
      <c r="J545" s="74"/>
      <c r="K545" s="11">
        <f>SUM(K540:K544)</f>
        <v>0</v>
      </c>
      <c r="L545" s="74"/>
      <c r="M545" s="11">
        <f ca="1">SUM(M540:M544)</f>
        <v>99.311475409836063</v>
      </c>
      <c r="N545" s="74"/>
      <c r="O545" s="12">
        <f ca="1">SUM(O540:O544)</f>
        <v>99.311475409836063</v>
      </c>
      <c r="P545" s="75">
        <f ca="1">SUMIF(B538:N538,"&lt;8",C545:O545)</f>
        <v>198.62295081967213</v>
      </c>
    </row>
    <row r="546" spans="2:16" x14ac:dyDescent="0.2">
      <c r="B546" s="76"/>
      <c r="C546" s="77"/>
      <c r="D546" s="77"/>
      <c r="E546" s="77"/>
      <c r="F546" s="77"/>
      <c r="G546" s="77"/>
      <c r="H546" s="77"/>
      <c r="I546" s="77"/>
      <c r="J546" s="77"/>
      <c r="K546" s="77"/>
      <c r="L546" s="77"/>
      <c r="M546" s="77"/>
      <c r="N546" s="77"/>
      <c r="O546" s="77"/>
      <c r="P546" s="76"/>
    </row>
    <row r="547" spans="2:16" ht="12.75" x14ac:dyDescent="0.25">
      <c r="B547" s="78">
        <f>N538+1</f>
        <v>7</v>
      </c>
      <c r="C547" s="79"/>
      <c r="D547" s="78">
        <f>B547+1</f>
        <v>8</v>
      </c>
      <c r="E547" s="79"/>
      <c r="F547" s="78">
        <f>D547+1</f>
        <v>9</v>
      </c>
      <c r="G547" s="79"/>
      <c r="H547" s="78">
        <f>F547+1</f>
        <v>10</v>
      </c>
      <c r="I547" s="79"/>
      <c r="J547" s="78">
        <f>H547+1</f>
        <v>11</v>
      </c>
      <c r="K547" s="79"/>
      <c r="L547" s="78">
        <f>J547+1</f>
        <v>12</v>
      </c>
      <c r="M547" s="79"/>
      <c r="N547" s="78">
        <f>L547+1</f>
        <v>13</v>
      </c>
      <c r="O547" s="79"/>
      <c r="P547" s="80"/>
    </row>
    <row r="548" spans="2:16" x14ac:dyDescent="0.25">
      <c r="B548" s="64" t="s">
        <v>42</v>
      </c>
      <c r="C548" s="81" t="s">
        <v>43</v>
      </c>
      <c r="D548" s="64" t="s">
        <v>42</v>
      </c>
      <c r="E548" s="81" t="s">
        <v>43</v>
      </c>
      <c r="F548" s="64" t="s">
        <v>42</v>
      </c>
      <c r="G548" s="81" t="s">
        <v>43</v>
      </c>
      <c r="H548" s="64" t="s">
        <v>42</v>
      </c>
      <c r="I548" s="81" t="s">
        <v>43</v>
      </c>
      <c r="J548" s="64" t="s">
        <v>42</v>
      </c>
      <c r="K548" s="81" t="s">
        <v>43</v>
      </c>
      <c r="L548" s="64" t="s">
        <v>42</v>
      </c>
      <c r="M548" s="81" t="s">
        <v>43</v>
      </c>
      <c r="N548" s="64" t="s">
        <v>42</v>
      </c>
      <c r="O548" s="82" t="s">
        <v>43</v>
      </c>
      <c r="P548" s="66"/>
    </row>
    <row r="549" spans="2:16" x14ac:dyDescent="0.25">
      <c r="B549" s="136" t="str">
        <f>IF(Tilmeldingsoversigt!$C$7="x",Morgenmad," ")</f>
        <v>Morgenmad</v>
      </c>
      <c r="C549" s="67">
        <f ca="1">IF(B549=Morgenmad,Tilmeldingsoversigt!$C$15," ")</f>
        <v>16.754098360655739</v>
      </c>
      <c r="D549" s="136" t="str">
        <f>IF(Tilmeldingsoversigt!$D$7="x",Morgenmad," ")</f>
        <v>Morgenmad</v>
      </c>
      <c r="E549" s="67">
        <f ca="1">IF(D549=Morgenmad,Tilmeldingsoversigt!$C$15," ")</f>
        <v>16.754098360655739</v>
      </c>
      <c r="F549" s="136" t="str">
        <f>IF(Tilmeldingsoversigt!$E$7="x",Morgenmad," ")</f>
        <v>Morgenmad</v>
      </c>
      <c r="G549" s="67">
        <f ca="1">IF(F549=Morgenmad,Tilmeldingsoversigt!$C$15," ")</f>
        <v>16.754098360655739</v>
      </c>
      <c r="H549" s="136" t="str">
        <f>IF(Tilmeldingsoversigt!$F$7="x",Morgenmad," ")</f>
        <v>Morgenmad</v>
      </c>
      <c r="I549" s="67">
        <f ca="1">IF(H549=Morgenmad,Tilmeldingsoversigt!$C$15," ")</f>
        <v>16.754098360655739</v>
      </c>
      <c r="J549" s="136" t="str">
        <f>IF(Tilmeldingsoversigt!$G$7="x",Morgenmad," ")</f>
        <v>Morgenmad</v>
      </c>
      <c r="K549" s="67">
        <f ca="1">IF(J549=Morgenmad,Tilmeldingsoversigt!$C$15," ")</f>
        <v>16.754098360655739</v>
      </c>
      <c r="L549" s="136" t="str">
        <f>IF(Tilmeldingsoversigt!$H$7="x",Morgenmad," ")</f>
        <v>Morgenmad</v>
      </c>
      <c r="M549" s="67">
        <f ca="1">IF(L549=Morgenmad,Tilmeldingsoversigt!$C$15," ")</f>
        <v>16.754098360655739</v>
      </c>
      <c r="N549" s="136" t="str">
        <f>IF(Tilmeldingsoversigt!$I$7="x",Morgenmad," ")</f>
        <v>Morgenmad</v>
      </c>
      <c r="O549" s="83">
        <f ca="1">IF(N549=Morgenmad,Tilmeldingsoversigt!$C$15," ")</f>
        <v>16.754098360655739</v>
      </c>
      <c r="P549" s="66"/>
    </row>
    <row r="550" spans="2:16" x14ac:dyDescent="0.25">
      <c r="B550" s="68" t="str">
        <f>IF(Tilmeldingsoversigt!$C$8="x",hovedret," ")</f>
        <v>Hovedret</v>
      </c>
      <c r="C550" s="69">
        <f ca="1">IF(B550=hovedret,Tilmeldingsoversigt!$C$16," ")</f>
        <v>55.016393442622949</v>
      </c>
      <c r="D550" s="68" t="str">
        <f>IF(Tilmeldingsoversigt!$D$8="x",hovedret," ")</f>
        <v>Hovedret</v>
      </c>
      <c r="E550" s="69">
        <f ca="1">IF(D550=hovedret,Tilmeldingsoversigt!$C$16," ")</f>
        <v>55.016393442622949</v>
      </c>
      <c r="F550" s="68" t="str">
        <f>IF(Tilmeldingsoversigt!$E$8="x",hovedret," ")</f>
        <v>Hovedret</v>
      </c>
      <c r="G550" s="69">
        <f ca="1">IF(F550=hovedret,Tilmeldingsoversigt!$C$16," ")</f>
        <v>55.016393442622949</v>
      </c>
      <c r="H550" s="68" t="str">
        <f>IF(Tilmeldingsoversigt!$F$8="x",hovedret," ")</f>
        <v>Hovedret</v>
      </c>
      <c r="I550" s="69">
        <f ca="1">IF(H550=hovedret,Tilmeldingsoversigt!$C$16," ")</f>
        <v>55.016393442622949</v>
      </c>
      <c r="J550" s="68" t="str">
        <f>IF(Tilmeldingsoversigt!$G$8="x",hovedret," ")</f>
        <v>Hovedret</v>
      </c>
      <c r="K550" s="69">
        <f ca="1">IF(J550=hovedret,Tilmeldingsoversigt!$C$16," ")</f>
        <v>55.016393442622949</v>
      </c>
      <c r="L550" s="68" t="str">
        <f>IF(Tilmeldingsoversigt!$H$8="x",hovedret," ")</f>
        <v>Hovedret</v>
      </c>
      <c r="M550" s="69">
        <f ca="1">IF(L550=hovedret,Tilmeldingsoversigt!$C$16," ")</f>
        <v>55.016393442622949</v>
      </c>
      <c r="N550" s="68" t="str">
        <f>IF(Tilmeldingsoversigt!$I$8="x",hovedret," ")</f>
        <v>Hovedret</v>
      </c>
      <c r="O550" s="70">
        <f ca="1">IF(N550=hovedret,Tilmeldingsoversigt!$C$16," ")</f>
        <v>55.016393442622949</v>
      </c>
      <c r="P550" s="66"/>
    </row>
    <row r="551" spans="2:16" x14ac:dyDescent="0.25">
      <c r="B551" s="68" t="str">
        <f>IF(Tilmeldingsoversigt!$C$9="x",Aftensmad," ")</f>
        <v>Aftensmad</v>
      </c>
      <c r="C551" s="69">
        <f ca="1">IF(B551=Aftensmad,Tilmeldingsoversigt!$C$17," ")</f>
        <v>27.540983606557376</v>
      </c>
      <c r="D551" s="68" t="str">
        <f>IF(Tilmeldingsoversigt!$D$9="x",Aftensmad," ")</f>
        <v>Aftensmad</v>
      </c>
      <c r="E551" s="69">
        <f ca="1">IF(D551=Aftensmad,Tilmeldingsoversigt!$C$17," ")</f>
        <v>27.540983606557376</v>
      </c>
      <c r="F551" s="68" t="str">
        <f>IF(Tilmeldingsoversigt!$E$9="x",Aftensmad," ")</f>
        <v>Aftensmad</v>
      </c>
      <c r="G551" s="69">
        <f ca="1">IF(F551=Aftensmad,Tilmeldingsoversigt!$C$17," ")</f>
        <v>27.540983606557376</v>
      </c>
      <c r="H551" s="68" t="str">
        <f>IF(Tilmeldingsoversigt!$F$9="x",Aftensmad," ")</f>
        <v>Aftensmad</v>
      </c>
      <c r="I551" s="69">
        <f ca="1">IF(H551=Aftensmad,Tilmeldingsoversigt!$C$17," ")</f>
        <v>27.540983606557376</v>
      </c>
      <c r="J551" s="68" t="str">
        <f>IF(Tilmeldingsoversigt!$G$9="x",Aftensmad," ")</f>
        <v>Aftensmad</v>
      </c>
      <c r="K551" s="69">
        <f ca="1">IF(J551=Aftensmad,Tilmeldingsoversigt!$C$17," ")</f>
        <v>27.540983606557376</v>
      </c>
      <c r="L551" s="68" t="str">
        <f>IF(Tilmeldingsoversigt!$H$9="x",Aftensmad," ")</f>
        <v>Aftensmad</v>
      </c>
      <c r="M551" s="69">
        <f ca="1">IF(L551=Aftensmad,Tilmeldingsoversigt!$C$17," ")</f>
        <v>27.540983606557376</v>
      </c>
      <c r="N551" s="68" t="str">
        <f>IF(Tilmeldingsoversigt!$I$9="x",Aftensmad," ")</f>
        <v>Aftensmad</v>
      </c>
      <c r="O551" s="70">
        <f ca="1">IF(N551=Aftensmad,Tilmeldingsoversigt!$C$17," ")</f>
        <v>27.540983606557376</v>
      </c>
      <c r="P551" s="66"/>
    </row>
    <row r="552" spans="2:16" x14ac:dyDescent="0.25">
      <c r="B552" s="68" t="str">
        <f>IF(Tilmeldingsoversigt!$C$10="x",biret," ")</f>
        <v>Biret</v>
      </c>
      <c r="C552" s="69">
        <f>IF(B552=biret,biretpris," ")</f>
        <v>0</v>
      </c>
      <c r="D552" s="68" t="str">
        <f>IF(Tilmeldingsoversigt!$D$10="x",biret," ")</f>
        <v>Biret</v>
      </c>
      <c r="E552" s="69">
        <f>IF(D552=biret,biretpris," ")</f>
        <v>0</v>
      </c>
      <c r="F552" s="68" t="str">
        <f>IF(Tilmeldingsoversigt!$E$10="x",biret," ")</f>
        <v>Biret</v>
      </c>
      <c r="G552" s="69">
        <f>IF(F552=biret,biretpris," ")</f>
        <v>0</v>
      </c>
      <c r="H552" s="68" t="str">
        <f>IF(Tilmeldingsoversigt!$F$10="x",biret," ")</f>
        <v>Biret</v>
      </c>
      <c r="I552" s="69">
        <f>IF(H552=biret,biretpris," ")</f>
        <v>0</v>
      </c>
      <c r="J552" s="68" t="str">
        <f>IF(Tilmeldingsoversigt!$G$10="x",biret," ")</f>
        <v>Biret</v>
      </c>
      <c r="K552" s="69">
        <f>IF(J552=biret,biretpris," ")</f>
        <v>0</v>
      </c>
      <c r="L552" s="68" t="str">
        <f>IF(Tilmeldingsoversigt!$H$10="x",biret," ")</f>
        <v>Biret</v>
      </c>
      <c r="M552" s="69">
        <f>IF(L552=biret,biretpris," ")</f>
        <v>0</v>
      </c>
      <c r="N552" s="68" t="str">
        <f>IF(Tilmeldingsoversigt!$I$10="x",biret," ")</f>
        <v>Biret</v>
      </c>
      <c r="O552" s="70">
        <f>IF(N552=biret,biretpris," ")</f>
        <v>0</v>
      </c>
      <c r="P552" s="66"/>
    </row>
    <row r="553" spans="2:16" x14ac:dyDescent="0.25">
      <c r="B553" s="71" t="str">
        <f>IF(Tilmeldingsoversigt!$C$11="x",mellemmåltid," ")</f>
        <v xml:space="preserve"> </v>
      </c>
      <c r="C553" s="72" t="str">
        <f>IF(B553=mellemmåltid,mellemmåltidspris," ")</f>
        <v xml:space="preserve"> </v>
      </c>
      <c r="D553" s="71" t="str">
        <f>IF(Tilmeldingsoversigt!$C$11="x",mellemmåltid," ")</f>
        <v xml:space="preserve"> </v>
      </c>
      <c r="E553" s="72" t="str">
        <f>IF(D553=mellemmåltid,mellemmåltidspris," ")</f>
        <v xml:space="preserve"> </v>
      </c>
      <c r="F553" s="71" t="str">
        <f>IF(Tilmeldingsoversigt!$C$11="x",mellemmåltid," ")</f>
        <v xml:space="preserve"> </v>
      </c>
      <c r="G553" s="72" t="str">
        <f>IF(F553=mellemmåltid,mellemmåltidspris," ")</f>
        <v xml:space="preserve"> </v>
      </c>
      <c r="H553" s="71" t="str">
        <f>IF(Tilmeldingsoversigt!$C$11="x",mellemmåltid," ")</f>
        <v xml:space="preserve"> </v>
      </c>
      <c r="I553" s="72" t="str">
        <f>IF(H553=mellemmåltid,mellemmåltidspris," ")</f>
        <v xml:space="preserve"> </v>
      </c>
      <c r="J553" s="71" t="str">
        <f>IF(Tilmeldingsoversigt!$C$11="x",mellemmåltid," ")</f>
        <v xml:space="preserve"> </v>
      </c>
      <c r="K553" s="72" t="str">
        <f>IF(J553=mellemmåltid,mellemmåltidspris," ")</f>
        <v xml:space="preserve"> </v>
      </c>
      <c r="L553" s="71" t="str">
        <f>IF(Tilmeldingsoversigt!$C$11="x",mellemmåltid," ")</f>
        <v xml:space="preserve"> </v>
      </c>
      <c r="M553" s="72" t="str">
        <f>IF(L553=mellemmåltid,mellemmåltidspris," ")</f>
        <v xml:space="preserve"> </v>
      </c>
      <c r="N553" s="71" t="str">
        <f>IF(Tilmeldingsoversigt!$C$11="x",mellemmåltid," ")</f>
        <v xml:space="preserve"> </v>
      </c>
      <c r="O553" s="73" t="str">
        <f>IF(N553=mellemmåltid,mellemmåltidspris," ")</f>
        <v xml:space="preserve"> </v>
      </c>
      <c r="P553" s="66"/>
    </row>
    <row r="554" spans="2:16" x14ac:dyDescent="0.25">
      <c r="B554" s="74" t="s">
        <v>44</v>
      </c>
      <c r="C554" s="11">
        <f ca="1">SUM(C549:C553)</f>
        <v>99.311475409836063</v>
      </c>
      <c r="D554" s="74"/>
      <c r="E554" s="11">
        <f ca="1">SUM(E549:E553)</f>
        <v>99.311475409836063</v>
      </c>
      <c r="F554" s="74"/>
      <c r="G554" s="11">
        <f ca="1">SUM(G549:G553)</f>
        <v>99.311475409836063</v>
      </c>
      <c r="H554" s="74"/>
      <c r="I554" s="11">
        <f ca="1">SUM(I549:I553)</f>
        <v>99.311475409836063</v>
      </c>
      <c r="J554" s="74"/>
      <c r="K554" s="11">
        <f ca="1">SUM(K549:K553)</f>
        <v>99.311475409836063</v>
      </c>
      <c r="L554" s="74"/>
      <c r="M554" s="11">
        <f ca="1">SUM(M549:M553)</f>
        <v>99.311475409836063</v>
      </c>
      <c r="N554" s="74"/>
      <c r="O554" s="12">
        <f ca="1">SUM(O549:O553)</f>
        <v>99.311475409836063</v>
      </c>
      <c r="P554" s="75">
        <f ca="1">SUM(C554,E554,G554,I554,K554,M554,O554)</f>
        <v>695.18032786885237</v>
      </c>
    </row>
    <row r="555" spans="2:16" x14ac:dyDescent="0.2">
      <c r="B555" s="76"/>
      <c r="C555" s="77"/>
      <c r="D555" s="77"/>
      <c r="E555" s="77"/>
      <c r="F555" s="77"/>
      <c r="G555" s="77"/>
      <c r="H555" s="77"/>
      <c r="I555" s="77"/>
      <c r="J555" s="77"/>
      <c r="K555" s="77"/>
      <c r="L555" s="77"/>
      <c r="M555" s="77"/>
      <c r="N555" s="77"/>
      <c r="O555" s="77"/>
      <c r="P555" s="76"/>
    </row>
    <row r="556" spans="2:16" ht="12.75" x14ac:dyDescent="0.25">
      <c r="B556" s="78">
        <f>N547+1</f>
        <v>14</v>
      </c>
      <c r="C556" s="79"/>
      <c r="D556" s="78">
        <f>B556+1</f>
        <v>15</v>
      </c>
      <c r="E556" s="79"/>
      <c r="F556" s="78">
        <f>D556+1</f>
        <v>16</v>
      </c>
      <c r="G556" s="79"/>
      <c r="H556" s="78">
        <f>F556+1</f>
        <v>17</v>
      </c>
      <c r="I556" s="79"/>
      <c r="J556" s="78">
        <f>H556+1</f>
        <v>18</v>
      </c>
      <c r="K556" s="79"/>
      <c r="L556" s="78">
        <f>J556+1</f>
        <v>19</v>
      </c>
      <c r="M556" s="79"/>
      <c r="N556" s="78">
        <f>L556+1</f>
        <v>20</v>
      </c>
      <c r="O556" s="79"/>
      <c r="P556" s="80"/>
    </row>
    <row r="557" spans="2:16" x14ac:dyDescent="0.25">
      <c r="B557" s="64" t="s">
        <v>42</v>
      </c>
      <c r="C557" s="81" t="s">
        <v>43</v>
      </c>
      <c r="D557" s="64" t="s">
        <v>42</v>
      </c>
      <c r="E557" s="81" t="s">
        <v>43</v>
      </c>
      <c r="F557" s="64" t="s">
        <v>42</v>
      </c>
      <c r="G557" s="81" t="s">
        <v>43</v>
      </c>
      <c r="H557" s="64" t="s">
        <v>42</v>
      </c>
      <c r="I557" s="81" t="s">
        <v>43</v>
      </c>
      <c r="J557" s="64" t="s">
        <v>42</v>
      </c>
      <c r="K557" s="81" t="s">
        <v>43</v>
      </c>
      <c r="L557" s="64" t="s">
        <v>42</v>
      </c>
      <c r="M557" s="81" t="s">
        <v>43</v>
      </c>
      <c r="N557" s="64" t="s">
        <v>42</v>
      </c>
      <c r="O557" s="82" t="s">
        <v>43</v>
      </c>
      <c r="P557" s="66"/>
    </row>
    <row r="558" spans="2:16" x14ac:dyDescent="0.25">
      <c r="B558" s="136" t="str">
        <f>IF(Tilmeldingsoversigt!$C$7="x",Morgenmad," ")</f>
        <v>Morgenmad</v>
      </c>
      <c r="C558" s="67">
        <f ca="1">IF(B558=Morgenmad,Tilmeldingsoversigt!$C$15," ")</f>
        <v>16.754098360655739</v>
      </c>
      <c r="D558" s="136" t="str">
        <f>IF(Tilmeldingsoversigt!$D$7="x",Morgenmad," ")</f>
        <v>Morgenmad</v>
      </c>
      <c r="E558" s="67">
        <f ca="1">IF(D558=Morgenmad,Tilmeldingsoversigt!$C$15," ")</f>
        <v>16.754098360655739</v>
      </c>
      <c r="F558" s="136" t="str">
        <f>IF(Tilmeldingsoversigt!$E$7="x",Morgenmad," ")</f>
        <v>Morgenmad</v>
      </c>
      <c r="G558" s="67">
        <f ca="1">IF(F558=Morgenmad,Tilmeldingsoversigt!$C$15," ")</f>
        <v>16.754098360655739</v>
      </c>
      <c r="H558" s="136" t="str">
        <f>IF(Tilmeldingsoversigt!$F$7="x",Morgenmad," ")</f>
        <v>Morgenmad</v>
      </c>
      <c r="I558" s="67">
        <f ca="1">IF(H558=Morgenmad,Tilmeldingsoversigt!$C$15," ")</f>
        <v>16.754098360655739</v>
      </c>
      <c r="J558" s="136" t="str">
        <f>IF(Tilmeldingsoversigt!$G$7="x",Morgenmad," ")</f>
        <v>Morgenmad</v>
      </c>
      <c r="K558" s="67">
        <f ca="1">IF(J558=Morgenmad,Tilmeldingsoversigt!$C$15," ")</f>
        <v>16.754098360655739</v>
      </c>
      <c r="L558" s="136" t="str">
        <f>IF(Tilmeldingsoversigt!$H$7="x",Morgenmad," ")</f>
        <v>Morgenmad</v>
      </c>
      <c r="M558" s="67">
        <f ca="1">IF(L558=Morgenmad,Tilmeldingsoversigt!$C$15," ")</f>
        <v>16.754098360655739</v>
      </c>
      <c r="N558" s="136" t="str">
        <f>IF(Tilmeldingsoversigt!$I$7="x",Morgenmad," ")</f>
        <v>Morgenmad</v>
      </c>
      <c r="O558" s="83">
        <f ca="1">IF(N558=Morgenmad,Tilmeldingsoversigt!$C$15," ")</f>
        <v>16.754098360655739</v>
      </c>
      <c r="P558" s="66"/>
    </row>
    <row r="559" spans="2:16" x14ac:dyDescent="0.25">
      <c r="B559" s="68" t="str">
        <f>IF(Tilmeldingsoversigt!$C$8="x",hovedret," ")</f>
        <v>Hovedret</v>
      </c>
      <c r="C559" s="69">
        <f ca="1">IF(B559=hovedret,Tilmeldingsoversigt!$C$16," ")</f>
        <v>55.016393442622949</v>
      </c>
      <c r="D559" s="68" t="str">
        <f>IF(Tilmeldingsoversigt!$D$8="x",hovedret," ")</f>
        <v>Hovedret</v>
      </c>
      <c r="E559" s="69">
        <f ca="1">IF(D559=hovedret,Tilmeldingsoversigt!$C$16," ")</f>
        <v>55.016393442622949</v>
      </c>
      <c r="F559" s="68" t="str">
        <f>IF(Tilmeldingsoversigt!$E$8="x",hovedret," ")</f>
        <v>Hovedret</v>
      </c>
      <c r="G559" s="69">
        <f ca="1">IF(F559=hovedret,Tilmeldingsoversigt!$C$16," ")</f>
        <v>55.016393442622949</v>
      </c>
      <c r="H559" s="68" t="str">
        <f>IF(Tilmeldingsoversigt!$F$8="x",hovedret," ")</f>
        <v>Hovedret</v>
      </c>
      <c r="I559" s="69">
        <f ca="1">IF(H559=hovedret,Tilmeldingsoversigt!$C$16," ")</f>
        <v>55.016393442622949</v>
      </c>
      <c r="J559" s="68" t="str">
        <f>IF(Tilmeldingsoversigt!$G$8="x",hovedret," ")</f>
        <v>Hovedret</v>
      </c>
      <c r="K559" s="69">
        <f ca="1">IF(J559=hovedret,Tilmeldingsoversigt!$C$16," ")</f>
        <v>55.016393442622949</v>
      </c>
      <c r="L559" s="68" t="str">
        <f>IF(Tilmeldingsoversigt!$H$8="x",hovedret," ")</f>
        <v>Hovedret</v>
      </c>
      <c r="M559" s="69">
        <f ca="1">IF(L559=hovedret,Tilmeldingsoversigt!$C$16," ")</f>
        <v>55.016393442622949</v>
      </c>
      <c r="N559" s="68" t="str">
        <f>IF(Tilmeldingsoversigt!$I$8="x",hovedret," ")</f>
        <v>Hovedret</v>
      </c>
      <c r="O559" s="70">
        <f ca="1">IF(N559=hovedret,Tilmeldingsoversigt!$C$16," ")</f>
        <v>55.016393442622949</v>
      </c>
      <c r="P559" s="66"/>
    </row>
    <row r="560" spans="2:16" x14ac:dyDescent="0.25">
      <c r="B560" s="68" t="str">
        <f>IF(Tilmeldingsoversigt!$C$9="x",Aftensmad," ")</f>
        <v>Aftensmad</v>
      </c>
      <c r="C560" s="69">
        <f ca="1">IF(B560=Aftensmad,Tilmeldingsoversigt!$C$17," ")</f>
        <v>27.540983606557376</v>
      </c>
      <c r="D560" s="68" t="str">
        <f>IF(Tilmeldingsoversigt!$D$9="x",Aftensmad," ")</f>
        <v>Aftensmad</v>
      </c>
      <c r="E560" s="69">
        <f ca="1">IF(D560=Aftensmad,Tilmeldingsoversigt!$C$17," ")</f>
        <v>27.540983606557376</v>
      </c>
      <c r="F560" s="68" t="str">
        <f>IF(Tilmeldingsoversigt!$E$9="x",Aftensmad," ")</f>
        <v>Aftensmad</v>
      </c>
      <c r="G560" s="69">
        <f ca="1">IF(F560=Aftensmad,Tilmeldingsoversigt!$C$17," ")</f>
        <v>27.540983606557376</v>
      </c>
      <c r="H560" s="68" t="str">
        <f>IF(Tilmeldingsoversigt!$F$9="x",Aftensmad," ")</f>
        <v>Aftensmad</v>
      </c>
      <c r="I560" s="69">
        <f ca="1">IF(H560=Aftensmad,Tilmeldingsoversigt!$C$17," ")</f>
        <v>27.540983606557376</v>
      </c>
      <c r="J560" s="68" t="str">
        <f>IF(Tilmeldingsoversigt!$G$9="x",Aftensmad," ")</f>
        <v>Aftensmad</v>
      </c>
      <c r="K560" s="69">
        <f ca="1">IF(J560=Aftensmad,Tilmeldingsoversigt!$C$17," ")</f>
        <v>27.540983606557376</v>
      </c>
      <c r="L560" s="68" t="str">
        <f>IF(Tilmeldingsoversigt!$H$9="x",Aftensmad," ")</f>
        <v>Aftensmad</v>
      </c>
      <c r="M560" s="69">
        <f ca="1">IF(L560=Aftensmad,Tilmeldingsoversigt!$C$17," ")</f>
        <v>27.540983606557376</v>
      </c>
      <c r="N560" s="68" t="str">
        <f>IF(Tilmeldingsoversigt!$I$9="x",Aftensmad," ")</f>
        <v>Aftensmad</v>
      </c>
      <c r="O560" s="70">
        <f ca="1">IF(N560=Aftensmad,Tilmeldingsoversigt!$C$17," ")</f>
        <v>27.540983606557376</v>
      </c>
      <c r="P560" s="66"/>
    </row>
    <row r="561" spans="2:16" x14ac:dyDescent="0.25">
      <c r="B561" s="68" t="str">
        <f>IF(Tilmeldingsoversigt!$C$10="x",biret," ")</f>
        <v>Biret</v>
      </c>
      <c r="C561" s="69">
        <f>IF(B561=biret,biretpris," ")</f>
        <v>0</v>
      </c>
      <c r="D561" s="68" t="str">
        <f>IF(Tilmeldingsoversigt!$D$10="x",biret," ")</f>
        <v>Biret</v>
      </c>
      <c r="E561" s="69">
        <f>IF(D561=biret,biretpris," ")</f>
        <v>0</v>
      </c>
      <c r="F561" s="68" t="str">
        <f>IF(Tilmeldingsoversigt!$E$10="x",biret," ")</f>
        <v>Biret</v>
      </c>
      <c r="G561" s="69">
        <f>IF(F561=biret,biretpris," ")</f>
        <v>0</v>
      </c>
      <c r="H561" s="68" t="str">
        <f>IF(Tilmeldingsoversigt!$F$10="x",biret," ")</f>
        <v>Biret</v>
      </c>
      <c r="I561" s="69">
        <f>IF(H561=biret,biretpris," ")</f>
        <v>0</v>
      </c>
      <c r="J561" s="68" t="str">
        <f>IF(Tilmeldingsoversigt!$G$10="x",biret," ")</f>
        <v>Biret</v>
      </c>
      <c r="K561" s="69">
        <f>IF(J561=biret,biretpris," ")</f>
        <v>0</v>
      </c>
      <c r="L561" s="68" t="str">
        <f>IF(Tilmeldingsoversigt!$H$10="x",biret," ")</f>
        <v>Biret</v>
      </c>
      <c r="M561" s="69">
        <f>IF(L561=biret,biretpris," ")</f>
        <v>0</v>
      </c>
      <c r="N561" s="68" t="str">
        <f>IF(Tilmeldingsoversigt!$I$10="x",biret," ")</f>
        <v>Biret</v>
      </c>
      <c r="O561" s="70">
        <f>IF(N561=biret,biretpris," ")</f>
        <v>0</v>
      </c>
      <c r="P561" s="66"/>
    </row>
    <row r="562" spans="2:16" x14ac:dyDescent="0.25">
      <c r="B562" s="71" t="str">
        <f>IF(Tilmeldingsoversigt!$C$11="x",mellemmåltid," ")</f>
        <v xml:space="preserve"> </v>
      </c>
      <c r="C562" s="72" t="str">
        <f>IF(B562=mellemmåltid,mellemmåltidspris," ")</f>
        <v xml:space="preserve"> </v>
      </c>
      <c r="D562" s="71" t="str">
        <f>IF(Tilmeldingsoversigt!$C$11="x",mellemmåltid," ")</f>
        <v xml:space="preserve"> </v>
      </c>
      <c r="E562" s="72" t="str">
        <f>IF(D562=mellemmåltid,mellemmåltidspris," ")</f>
        <v xml:space="preserve"> </v>
      </c>
      <c r="F562" s="71" t="str">
        <f>IF(Tilmeldingsoversigt!$C$11="x",mellemmåltid," ")</f>
        <v xml:space="preserve"> </v>
      </c>
      <c r="G562" s="72" t="str">
        <f>IF(F562=mellemmåltid,mellemmåltidspris," ")</f>
        <v xml:space="preserve"> </v>
      </c>
      <c r="H562" s="71" t="str">
        <f>IF(Tilmeldingsoversigt!$C$11="x",mellemmåltid," ")</f>
        <v xml:space="preserve"> </v>
      </c>
      <c r="I562" s="72" t="str">
        <f>IF(H562=mellemmåltid,mellemmåltidspris," ")</f>
        <v xml:space="preserve"> </v>
      </c>
      <c r="J562" s="71" t="str">
        <f>IF(Tilmeldingsoversigt!$C$11="x",mellemmåltid," ")</f>
        <v xml:space="preserve"> </v>
      </c>
      <c r="K562" s="72" t="str">
        <f>IF(J562=mellemmåltid,mellemmåltidspris," ")</f>
        <v xml:space="preserve"> </v>
      </c>
      <c r="L562" s="71" t="str">
        <f>IF(Tilmeldingsoversigt!$C$11="x",mellemmåltid," ")</f>
        <v xml:space="preserve"> </v>
      </c>
      <c r="M562" s="72" t="str">
        <f>IF(L562=mellemmåltid,mellemmåltidspris," ")</f>
        <v xml:space="preserve"> </v>
      </c>
      <c r="N562" s="71" t="str">
        <f>IF(Tilmeldingsoversigt!$C$11="x",mellemmåltid," ")</f>
        <v xml:space="preserve"> </v>
      </c>
      <c r="O562" s="73" t="str">
        <f>IF(N562=mellemmåltid,mellemmåltidspris," ")</f>
        <v xml:space="preserve"> </v>
      </c>
      <c r="P562" s="66"/>
    </row>
    <row r="563" spans="2:16" x14ac:dyDescent="0.25">
      <c r="B563" s="84" t="s">
        <v>44</v>
      </c>
      <c r="C563" s="11">
        <f ca="1">SUM(C558:C562)</f>
        <v>99.311475409836063</v>
      </c>
      <c r="D563" s="74"/>
      <c r="E563" s="11">
        <f ca="1">SUM(E558:E562)</f>
        <v>99.311475409836063</v>
      </c>
      <c r="F563" s="74"/>
      <c r="G563" s="11">
        <f ca="1">SUM(G558:G562)</f>
        <v>99.311475409836063</v>
      </c>
      <c r="H563" s="74"/>
      <c r="I563" s="11">
        <f ca="1">SUM(I558:I562)</f>
        <v>99.311475409836063</v>
      </c>
      <c r="J563" s="74"/>
      <c r="K563" s="11">
        <f ca="1">SUM(K558:K562)</f>
        <v>99.311475409836063</v>
      </c>
      <c r="L563" s="74"/>
      <c r="M563" s="11">
        <f ca="1">SUM(M558:M562)</f>
        <v>99.311475409836063</v>
      </c>
      <c r="N563" s="74"/>
      <c r="O563" s="12">
        <f ca="1">SUM(O558:O562)</f>
        <v>99.311475409836063</v>
      </c>
      <c r="P563" s="75">
        <f ca="1">SUM(C563,E563,G563,I563,K563,M563,O563)</f>
        <v>695.18032786885237</v>
      </c>
    </row>
    <row r="564" spans="2:16" x14ac:dyDescent="0.2">
      <c r="B564" s="76"/>
      <c r="C564" s="77"/>
      <c r="D564" s="77"/>
      <c r="E564" s="77"/>
      <c r="F564" s="77"/>
      <c r="G564" s="77"/>
      <c r="H564" s="77"/>
      <c r="I564" s="77"/>
      <c r="J564" s="77"/>
      <c r="K564" s="77"/>
      <c r="L564" s="77"/>
      <c r="M564" s="77"/>
      <c r="N564" s="77"/>
      <c r="O564" s="77"/>
      <c r="P564" s="76"/>
    </row>
    <row r="565" spans="2:16" ht="12.75" x14ac:dyDescent="0.25">
      <c r="B565" s="78">
        <f>N556+1</f>
        <v>21</v>
      </c>
      <c r="C565" s="79"/>
      <c r="D565" s="78">
        <f>B565+1</f>
        <v>22</v>
      </c>
      <c r="E565" s="79"/>
      <c r="F565" s="78">
        <f>D565+1</f>
        <v>23</v>
      </c>
      <c r="G565" s="79"/>
      <c r="H565" s="78">
        <f>F565+1</f>
        <v>24</v>
      </c>
      <c r="I565" s="79"/>
      <c r="J565" s="78">
        <f>H565+1</f>
        <v>25</v>
      </c>
      <c r="K565" s="79"/>
      <c r="L565" s="78">
        <f>J565+1</f>
        <v>26</v>
      </c>
      <c r="M565" s="79"/>
      <c r="N565" s="78">
        <f>L565+1</f>
        <v>27</v>
      </c>
      <c r="O565" s="79"/>
      <c r="P565" s="80"/>
    </row>
    <row r="566" spans="2:16" x14ac:dyDescent="0.25">
      <c r="B566" s="64" t="s">
        <v>42</v>
      </c>
      <c r="C566" s="81" t="s">
        <v>43</v>
      </c>
      <c r="D566" s="64" t="s">
        <v>42</v>
      </c>
      <c r="E566" s="81" t="s">
        <v>43</v>
      </c>
      <c r="F566" s="64" t="s">
        <v>42</v>
      </c>
      <c r="G566" s="81" t="s">
        <v>43</v>
      </c>
      <c r="H566" s="64" t="s">
        <v>42</v>
      </c>
      <c r="I566" s="81" t="s">
        <v>43</v>
      </c>
      <c r="J566" s="64" t="s">
        <v>42</v>
      </c>
      <c r="K566" s="81" t="s">
        <v>43</v>
      </c>
      <c r="L566" s="64" t="s">
        <v>42</v>
      </c>
      <c r="M566" s="81" t="s">
        <v>43</v>
      </c>
      <c r="N566" s="64" t="s">
        <v>42</v>
      </c>
      <c r="O566" s="82" t="s">
        <v>43</v>
      </c>
      <c r="P566" s="66"/>
    </row>
    <row r="567" spans="2:16" x14ac:dyDescent="0.25">
      <c r="B567" s="136" t="str">
        <f>IF(Tilmeldingsoversigt!$C$7="x",Morgenmad," ")</f>
        <v>Morgenmad</v>
      </c>
      <c r="C567" s="67">
        <f ca="1">IF(B567=Morgenmad,Tilmeldingsoversigt!$C$15," ")</f>
        <v>16.754098360655739</v>
      </c>
      <c r="D567" s="136" t="str">
        <f>IF(Tilmeldingsoversigt!$D$7="x",Morgenmad," ")</f>
        <v>Morgenmad</v>
      </c>
      <c r="E567" s="67">
        <f ca="1">IF(D567=Morgenmad,Tilmeldingsoversigt!$C$15," ")</f>
        <v>16.754098360655739</v>
      </c>
      <c r="F567" s="136" t="str">
        <f>IF(Tilmeldingsoversigt!$E$7="x",Morgenmad," ")</f>
        <v>Morgenmad</v>
      </c>
      <c r="G567" s="67">
        <f ca="1">IF(F567=Morgenmad,Tilmeldingsoversigt!$C$15," ")</f>
        <v>16.754098360655739</v>
      </c>
      <c r="H567" s="136" t="str">
        <f>IF(Tilmeldingsoversigt!$F$7="x",Morgenmad," ")</f>
        <v>Morgenmad</v>
      </c>
      <c r="I567" s="67">
        <f ca="1">IF(H567=Morgenmad,Tilmeldingsoversigt!$C$15," ")</f>
        <v>16.754098360655739</v>
      </c>
      <c r="J567" s="136" t="str">
        <f>IF(Tilmeldingsoversigt!$G$7="x",Morgenmad," ")</f>
        <v>Morgenmad</v>
      </c>
      <c r="K567" s="67">
        <f ca="1">IF(J567=Morgenmad,Tilmeldingsoversigt!$C$15," ")</f>
        <v>16.754098360655739</v>
      </c>
      <c r="L567" s="136" t="str">
        <f>IF(Tilmeldingsoversigt!$H$7="x",Morgenmad," ")</f>
        <v>Morgenmad</v>
      </c>
      <c r="M567" s="67">
        <f ca="1">IF(L567=Morgenmad,Tilmeldingsoversigt!$C$15," ")</f>
        <v>16.754098360655739</v>
      </c>
      <c r="N567" s="136" t="str">
        <f>IF(Tilmeldingsoversigt!$I$7="x",Morgenmad," ")</f>
        <v>Morgenmad</v>
      </c>
      <c r="O567" s="83">
        <f ca="1">IF(N567=Morgenmad,Tilmeldingsoversigt!$C$15," ")</f>
        <v>16.754098360655739</v>
      </c>
      <c r="P567" s="66"/>
    </row>
    <row r="568" spans="2:16" x14ac:dyDescent="0.25">
      <c r="B568" s="68" t="str">
        <f>IF(Tilmeldingsoversigt!$C$8="x",hovedret," ")</f>
        <v>Hovedret</v>
      </c>
      <c r="C568" s="69">
        <f ca="1">IF(B568=hovedret,Tilmeldingsoversigt!$C$16," ")</f>
        <v>55.016393442622949</v>
      </c>
      <c r="D568" s="68" t="str">
        <f>IF(Tilmeldingsoversigt!$D$8="x",hovedret," ")</f>
        <v>Hovedret</v>
      </c>
      <c r="E568" s="69">
        <f ca="1">IF(D568=hovedret,Tilmeldingsoversigt!$C$16," ")</f>
        <v>55.016393442622949</v>
      </c>
      <c r="F568" s="68" t="str">
        <f>IF(Tilmeldingsoversigt!$E$8="x",hovedret," ")</f>
        <v>Hovedret</v>
      </c>
      <c r="G568" s="69">
        <f ca="1">IF(F568=hovedret,Tilmeldingsoversigt!$C$16," ")</f>
        <v>55.016393442622949</v>
      </c>
      <c r="H568" s="68" t="str">
        <f>IF(Tilmeldingsoversigt!$F$8="x",hovedret," ")</f>
        <v>Hovedret</v>
      </c>
      <c r="I568" s="69">
        <f ca="1">IF(H568=hovedret,Tilmeldingsoversigt!$C$16," ")</f>
        <v>55.016393442622949</v>
      </c>
      <c r="J568" s="68" t="str">
        <f>IF(Tilmeldingsoversigt!$G$8="x",hovedret," ")</f>
        <v>Hovedret</v>
      </c>
      <c r="K568" s="69">
        <f ca="1">IF(J568=hovedret,Tilmeldingsoversigt!$C$16," ")</f>
        <v>55.016393442622949</v>
      </c>
      <c r="L568" s="68" t="str">
        <f>IF(Tilmeldingsoversigt!$H$8="x",hovedret," ")</f>
        <v>Hovedret</v>
      </c>
      <c r="M568" s="69">
        <f ca="1">IF(L568=hovedret,Tilmeldingsoversigt!$C$16," ")</f>
        <v>55.016393442622949</v>
      </c>
      <c r="N568" s="68" t="str">
        <f>IF(Tilmeldingsoversigt!$I$8="x",hovedret," ")</f>
        <v>Hovedret</v>
      </c>
      <c r="O568" s="70">
        <f ca="1">IF(N568=hovedret,Tilmeldingsoversigt!$C$16," ")</f>
        <v>55.016393442622949</v>
      </c>
      <c r="P568" s="66"/>
    </row>
    <row r="569" spans="2:16" x14ac:dyDescent="0.25">
      <c r="B569" s="68" t="str">
        <f>IF(Tilmeldingsoversigt!$C$9="x",Aftensmad," ")</f>
        <v>Aftensmad</v>
      </c>
      <c r="C569" s="69">
        <f ca="1">IF(B569=Aftensmad,Tilmeldingsoversigt!$C$17," ")</f>
        <v>27.540983606557376</v>
      </c>
      <c r="D569" s="68" t="str">
        <f>IF(Tilmeldingsoversigt!$D$9="x",Aftensmad," ")</f>
        <v>Aftensmad</v>
      </c>
      <c r="E569" s="69">
        <f ca="1">IF(D569=Aftensmad,Tilmeldingsoversigt!$C$17," ")</f>
        <v>27.540983606557376</v>
      </c>
      <c r="F569" s="68" t="str">
        <f>IF(Tilmeldingsoversigt!$E$9="x",Aftensmad," ")</f>
        <v>Aftensmad</v>
      </c>
      <c r="G569" s="69">
        <f ca="1">IF(F569=Aftensmad,Tilmeldingsoversigt!$C$17," ")</f>
        <v>27.540983606557376</v>
      </c>
      <c r="H569" s="68" t="str">
        <f>IF(Tilmeldingsoversigt!$F$9="x",Aftensmad," ")</f>
        <v>Aftensmad</v>
      </c>
      <c r="I569" s="69">
        <f ca="1">IF(H569=Aftensmad,Tilmeldingsoversigt!$C$17," ")</f>
        <v>27.540983606557376</v>
      </c>
      <c r="J569" s="68" t="str">
        <f>IF(Tilmeldingsoversigt!$G$9="x",Aftensmad," ")</f>
        <v>Aftensmad</v>
      </c>
      <c r="K569" s="69">
        <f ca="1">IF(J569=Aftensmad,Tilmeldingsoversigt!$C$17," ")</f>
        <v>27.540983606557376</v>
      </c>
      <c r="L569" s="68" t="str">
        <f>IF(Tilmeldingsoversigt!$H$9="x",Aftensmad," ")</f>
        <v>Aftensmad</v>
      </c>
      <c r="M569" s="69">
        <f ca="1">IF(L569=Aftensmad,Tilmeldingsoversigt!$C$17," ")</f>
        <v>27.540983606557376</v>
      </c>
      <c r="N569" s="68" t="str">
        <f>IF(Tilmeldingsoversigt!$I$9="x",Aftensmad," ")</f>
        <v>Aftensmad</v>
      </c>
      <c r="O569" s="70">
        <f ca="1">IF(N569=Aftensmad,Tilmeldingsoversigt!$C$17," ")</f>
        <v>27.540983606557376</v>
      </c>
      <c r="P569" s="66"/>
    </row>
    <row r="570" spans="2:16" x14ac:dyDescent="0.25">
      <c r="B570" s="68" t="str">
        <f>IF(Tilmeldingsoversigt!$C$10="x",biret," ")</f>
        <v>Biret</v>
      </c>
      <c r="C570" s="69">
        <f>IF(B570=biret,biretpris," ")</f>
        <v>0</v>
      </c>
      <c r="D570" s="68" t="str">
        <f>IF(Tilmeldingsoversigt!$D$10="x",biret," ")</f>
        <v>Biret</v>
      </c>
      <c r="E570" s="69">
        <f>IF(D570=biret,biretpris," ")</f>
        <v>0</v>
      </c>
      <c r="F570" s="68" t="str">
        <f>IF(Tilmeldingsoversigt!$E$10="x",biret," ")</f>
        <v>Biret</v>
      </c>
      <c r="G570" s="69">
        <f>IF(F570=biret,biretpris," ")</f>
        <v>0</v>
      </c>
      <c r="H570" s="68" t="str">
        <f>IF(Tilmeldingsoversigt!$F$10="x",biret," ")</f>
        <v>Biret</v>
      </c>
      <c r="I570" s="69">
        <f>IF(H570=biret,biretpris," ")</f>
        <v>0</v>
      </c>
      <c r="J570" s="68" t="str">
        <f>IF(Tilmeldingsoversigt!$G$10="x",biret," ")</f>
        <v>Biret</v>
      </c>
      <c r="K570" s="69">
        <f>IF(J570=biret,biretpris," ")</f>
        <v>0</v>
      </c>
      <c r="L570" s="68" t="str">
        <f>IF(Tilmeldingsoversigt!$H$10="x",biret," ")</f>
        <v>Biret</v>
      </c>
      <c r="M570" s="69">
        <f>IF(L570=biret,biretpris," ")</f>
        <v>0</v>
      </c>
      <c r="N570" s="68" t="str">
        <f>IF(Tilmeldingsoversigt!$I$10="x",biret," ")</f>
        <v>Biret</v>
      </c>
      <c r="O570" s="70">
        <f>IF(N570=biret,biretpris," ")</f>
        <v>0</v>
      </c>
      <c r="P570" s="66"/>
    </row>
    <row r="571" spans="2:16" x14ac:dyDescent="0.25">
      <c r="B571" s="71" t="str">
        <f>IF(Tilmeldingsoversigt!$C$11="x",mellemmåltid," ")</f>
        <v xml:space="preserve"> </v>
      </c>
      <c r="C571" s="72" t="str">
        <f>IF(B571=mellemmåltid,mellemmåltidspris," ")</f>
        <v xml:space="preserve"> </v>
      </c>
      <c r="D571" s="71" t="str">
        <f>IF(Tilmeldingsoversigt!$C$11="x",mellemmåltid," ")</f>
        <v xml:space="preserve"> </v>
      </c>
      <c r="E571" s="72" t="str">
        <f>IF(D571=mellemmåltid,mellemmåltidspris," ")</f>
        <v xml:space="preserve"> </v>
      </c>
      <c r="F571" s="71" t="str">
        <f>IF(Tilmeldingsoversigt!$C$11="x",mellemmåltid," ")</f>
        <v xml:space="preserve"> </v>
      </c>
      <c r="G571" s="72" t="str">
        <f>IF(F571=mellemmåltid,mellemmåltidspris," ")</f>
        <v xml:space="preserve"> </v>
      </c>
      <c r="H571" s="71" t="str">
        <f>IF(Tilmeldingsoversigt!$C$11="x",mellemmåltid," ")</f>
        <v xml:space="preserve"> </v>
      </c>
      <c r="I571" s="72" t="str">
        <f>IF(H571=mellemmåltid,mellemmåltidspris," ")</f>
        <v xml:space="preserve"> </v>
      </c>
      <c r="J571" s="71" t="str">
        <f>IF(Tilmeldingsoversigt!$C$11="x",mellemmåltid," ")</f>
        <v xml:space="preserve"> </v>
      </c>
      <c r="K571" s="72" t="str">
        <f>IF(J571=mellemmåltid,mellemmåltidspris," ")</f>
        <v xml:space="preserve"> </v>
      </c>
      <c r="L571" s="71" t="str">
        <f>IF(Tilmeldingsoversigt!$C$11="x",mellemmåltid," ")</f>
        <v xml:space="preserve"> </v>
      </c>
      <c r="M571" s="72" t="str">
        <f>IF(L571=mellemmåltid,mellemmåltidspris," ")</f>
        <v xml:space="preserve"> </v>
      </c>
      <c r="N571" s="71" t="str">
        <f>IF(Tilmeldingsoversigt!$C$11="x",mellemmåltid," ")</f>
        <v xml:space="preserve"> </v>
      </c>
      <c r="O571" s="73" t="str">
        <f>IF(N571=mellemmåltid,mellemmåltidspris," ")</f>
        <v xml:space="preserve"> </v>
      </c>
      <c r="P571" s="66"/>
    </row>
    <row r="572" spans="2:16" x14ac:dyDescent="0.25">
      <c r="B572" s="74" t="s">
        <v>44</v>
      </c>
      <c r="C572" s="11">
        <f ca="1">SUM(C567:C571)</f>
        <v>99.311475409836063</v>
      </c>
      <c r="D572" s="74"/>
      <c r="E572" s="11">
        <f ca="1">SUM(E567:E571)</f>
        <v>99.311475409836063</v>
      </c>
      <c r="F572" s="74"/>
      <c r="G572" s="11">
        <f ca="1">SUM(G567:G571)</f>
        <v>99.311475409836063</v>
      </c>
      <c r="H572" s="74"/>
      <c r="I572" s="11">
        <f ca="1">SUM(I567:I571)</f>
        <v>99.311475409836063</v>
      </c>
      <c r="J572" s="74"/>
      <c r="K572" s="11">
        <f ca="1">SUM(K567:K571)</f>
        <v>99.311475409836063</v>
      </c>
      <c r="L572" s="74"/>
      <c r="M572" s="11">
        <f ca="1">SUM(M567:M571)</f>
        <v>99.311475409836063</v>
      </c>
      <c r="N572" s="74"/>
      <c r="O572" s="12">
        <f ca="1">SUM(O567:O571)</f>
        <v>99.311475409836063</v>
      </c>
      <c r="P572" s="75">
        <f ca="1">SUM(C572,E572,G572,I572,K572,M572,O572)</f>
        <v>695.18032786885237</v>
      </c>
    </row>
    <row r="573" spans="2:16" x14ac:dyDescent="0.2">
      <c r="B573" s="76"/>
      <c r="C573" s="77"/>
      <c r="D573" s="77"/>
      <c r="E573" s="77"/>
      <c r="F573" s="77"/>
      <c r="G573" s="77"/>
      <c r="H573" s="77"/>
      <c r="I573" s="77"/>
      <c r="J573" s="77"/>
      <c r="K573" s="77"/>
      <c r="L573" s="77"/>
      <c r="M573" s="77"/>
      <c r="N573" s="77"/>
      <c r="O573" s="77"/>
      <c r="P573" s="76"/>
    </row>
    <row r="574" spans="2:16" ht="12.75" x14ac:dyDescent="0.25">
      <c r="B574" s="78">
        <f>DAY(IF(DAY(OktSøn1)=1,OktSøn1+22,OktSøn1+29))</f>
        <v>28</v>
      </c>
      <c r="C574" s="79"/>
      <c r="D574" s="78">
        <f>DAY(IF(DAY(OktSøn1)=1,OktSøn1+23,OktSøn1+30))</f>
        <v>29</v>
      </c>
      <c r="E574" s="79"/>
      <c r="F574" s="78">
        <f>DAY(IF(DAY(OktSøn1)=1,OktSøn1+24,OktSøn1+31))</f>
        <v>30</v>
      </c>
      <c r="G574" s="79"/>
      <c r="H574" s="78">
        <f>DAY(IF(DAY(OktSøn1)=1,OktSøn1+25,OktSøn1+32))</f>
        <v>31</v>
      </c>
      <c r="I574" s="79"/>
      <c r="J574" s="78">
        <f>DAY(IF(DAY(OktSøn1)=1,OktSøn1+26,OktSøn1+33))</f>
        <v>1</v>
      </c>
      <c r="K574" s="79"/>
      <c r="L574" s="78">
        <f>DAY(IF(DAY(OktSøn1)=1,OktSøn1+27,OktSøn1+34))</f>
        <v>2</v>
      </c>
      <c r="M574" s="79"/>
      <c r="N574" s="78">
        <f>DAY(IF(DAY(OktSøn1)=1,OktSøn1+28,OktSøn1+35))</f>
        <v>3</v>
      </c>
      <c r="O574" s="79"/>
      <c r="P574" s="85"/>
    </row>
    <row r="575" spans="2:16" x14ac:dyDescent="0.25">
      <c r="B575" s="64" t="s">
        <v>42</v>
      </c>
      <c r="C575" s="81" t="s">
        <v>43</v>
      </c>
      <c r="D575" s="64" t="s">
        <v>42</v>
      </c>
      <c r="E575" s="81" t="s">
        <v>43</v>
      </c>
      <c r="F575" s="64" t="s">
        <v>42</v>
      </c>
      <c r="G575" s="81" t="s">
        <v>43</v>
      </c>
      <c r="H575" s="64" t="s">
        <v>42</v>
      </c>
      <c r="I575" s="81" t="s">
        <v>43</v>
      </c>
      <c r="J575" s="64" t="s">
        <v>42</v>
      </c>
      <c r="K575" s="81" t="s">
        <v>43</v>
      </c>
      <c r="L575" s="64" t="s">
        <v>42</v>
      </c>
      <c r="M575" s="81" t="s">
        <v>43</v>
      </c>
      <c r="N575" s="64" t="s">
        <v>42</v>
      </c>
      <c r="O575" s="82" t="s">
        <v>43</v>
      </c>
      <c r="P575" s="66"/>
    </row>
    <row r="576" spans="2:16" x14ac:dyDescent="0.25">
      <c r="B576" s="136" t="str">
        <f>IF(Tilmeldingsoversigt!$C$7="x",Morgenmad," ")</f>
        <v>Morgenmad</v>
      </c>
      <c r="C576" s="67">
        <f ca="1">IF(B576=Morgenmad,Tilmeldingsoversigt!$C$15," ")</f>
        <v>16.754098360655739</v>
      </c>
      <c r="D576" s="136" t="str">
        <f>IF(Tilmeldingsoversigt!$D$7="x",Morgenmad," ")</f>
        <v>Morgenmad</v>
      </c>
      <c r="E576" s="67">
        <f ca="1">IF(D576=Morgenmad,Tilmeldingsoversigt!$C$15," ")</f>
        <v>16.754098360655739</v>
      </c>
      <c r="F576" s="136" t="str">
        <f>IF(Tilmeldingsoversigt!$E$7="x",Morgenmad," ")</f>
        <v>Morgenmad</v>
      </c>
      <c r="G576" s="67">
        <f ca="1">IF(F576=Morgenmad,Tilmeldingsoversigt!$C$15," ")</f>
        <v>16.754098360655739</v>
      </c>
      <c r="H576" s="136" t="str">
        <f>IF(Tilmeldingsoversigt!$F$7="x",Morgenmad," ")</f>
        <v>Morgenmad</v>
      </c>
      <c r="I576" s="67">
        <f ca="1">IF(H576=Morgenmad,Tilmeldingsoversigt!$C$15," ")</f>
        <v>16.754098360655739</v>
      </c>
      <c r="J576" s="136" t="str">
        <f>IF(Tilmeldingsoversigt!$G$7="x",Morgenmad," ")</f>
        <v>Morgenmad</v>
      </c>
      <c r="K576" s="67">
        <f ca="1">IF(J576=Morgenmad,Tilmeldingsoversigt!$C$15," ")</f>
        <v>16.754098360655739</v>
      </c>
      <c r="L576" s="136" t="str">
        <f>IF(Tilmeldingsoversigt!$H$7="x",Morgenmad," ")</f>
        <v>Morgenmad</v>
      </c>
      <c r="M576" s="67">
        <f ca="1">IF(L576=Morgenmad,Tilmeldingsoversigt!$C$15," ")</f>
        <v>16.754098360655739</v>
      </c>
      <c r="N576" s="136" t="str">
        <f>IF(Tilmeldingsoversigt!$I$7="x",Morgenmad," ")</f>
        <v>Morgenmad</v>
      </c>
      <c r="O576" s="83">
        <f ca="1">IF(N576=Morgenmad,Tilmeldingsoversigt!$C$15," ")</f>
        <v>16.754098360655739</v>
      </c>
      <c r="P576" s="66"/>
    </row>
    <row r="577" spans="2:16" x14ac:dyDescent="0.25">
      <c r="B577" s="68" t="str">
        <f>IF(Tilmeldingsoversigt!$C$8="x",hovedret," ")</f>
        <v>Hovedret</v>
      </c>
      <c r="C577" s="69">
        <f ca="1">IF(B577=hovedret,Tilmeldingsoversigt!$C$16," ")</f>
        <v>55.016393442622949</v>
      </c>
      <c r="D577" s="68" t="str">
        <f>IF(Tilmeldingsoversigt!$D$8="x",hovedret," ")</f>
        <v>Hovedret</v>
      </c>
      <c r="E577" s="69">
        <f ca="1">IF(D577=hovedret,Tilmeldingsoversigt!$C$16," ")</f>
        <v>55.016393442622949</v>
      </c>
      <c r="F577" s="68" t="str">
        <f>IF(Tilmeldingsoversigt!$E$8="x",hovedret," ")</f>
        <v>Hovedret</v>
      </c>
      <c r="G577" s="69">
        <f ca="1">IF(F577=hovedret,Tilmeldingsoversigt!$C$16," ")</f>
        <v>55.016393442622949</v>
      </c>
      <c r="H577" s="68" t="str">
        <f>IF(Tilmeldingsoversigt!$F$8="x",hovedret," ")</f>
        <v>Hovedret</v>
      </c>
      <c r="I577" s="69">
        <f ca="1">IF(H577=hovedret,Tilmeldingsoversigt!$C$16," ")</f>
        <v>55.016393442622949</v>
      </c>
      <c r="J577" s="68" t="str">
        <f>IF(Tilmeldingsoversigt!$G$8="x",hovedret," ")</f>
        <v>Hovedret</v>
      </c>
      <c r="K577" s="69">
        <f ca="1">IF(J577=hovedret,Tilmeldingsoversigt!$C$16," ")</f>
        <v>55.016393442622949</v>
      </c>
      <c r="L577" s="68" t="str">
        <f>IF(Tilmeldingsoversigt!$H$8="x",hovedret," ")</f>
        <v>Hovedret</v>
      </c>
      <c r="M577" s="69">
        <f ca="1">IF(L577=hovedret,Tilmeldingsoversigt!$C$16," ")</f>
        <v>55.016393442622949</v>
      </c>
      <c r="N577" s="68" t="str">
        <f>IF(Tilmeldingsoversigt!$I$8="x",hovedret," ")</f>
        <v>Hovedret</v>
      </c>
      <c r="O577" s="70">
        <f ca="1">IF(N577=hovedret,Tilmeldingsoversigt!$C$16," ")</f>
        <v>55.016393442622949</v>
      </c>
      <c r="P577" s="66"/>
    </row>
    <row r="578" spans="2:16" x14ac:dyDescent="0.25">
      <c r="B578" s="68" t="str">
        <f>IF(Tilmeldingsoversigt!$C$9="x",Aftensmad," ")</f>
        <v>Aftensmad</v>
      </c>
      <c r="C578" s="69">
        <f ca="1">IF(B578=Aftensmad,Tilmeldingsoversigt!$C$17," ")</f>
        <v>27.540983606557376</v>
      </c>
      <c r="D578" s="68" t="str">
        <f>IF(Tilmeldingsoversigt!$D$9="x",Aftensmad," ")</f>
        <v>Aftensmad</v>
      </c>
      <c r="E578" s="69">
        <f ca="1">IF(D578=Aftensmad,Tilmeldingsoversigt!$C$17," ")</f>
        <v>27.540983606557376</v>
      </c>
      <c r="F578" s="68" t="str">
        <f>IF(Tilmeldingsoversigt!$E$9="x",Aftensmad," ")</f>
        <v>Aftensmad</v>
      </c>
      <c r="G578" s="69">
        <f ca="1">IF(F578=Aftensmad,Tilmeldingsoversigt!$C$17," ")</f>
        <v>27.540983606557376</v>
      </c>
      <c r="H578" s="68" t="str">
        <f>IF(Tilmeldingsoversigt!$F$9="x",Aftensmad," ")</f>
        <v>Aftensmad</v>
      </c>
      <c r="I578" s="69">
        <f ca="1">IF(H578=Aftensmad,Tilmeldingsoversigt!$C$17," ")</f>
        <v>27.540983606557376</v>
      </c>
      <c r="J578" s="68" t="str">
        <f>IF(Tilmeldingsoversigt!$G$9="x",Aftensmad," ")</f>
        <v>Aftensmad</v>
      </c>
      <c r="K578" s="69">
        <f ca="1">IF(J578=Aftensmad,Tilmeldingsoversigt!$C$17," ")</f>
        <v>27.540983606557376</v>
      </c>
      <c r="L578" s="68" t="str">
        <f>IF(Tilmeldingsoversigt!$H$9="x",Aftensmad," ")</f>
        <v>Aftensmad</v>
      </c>
      <c r="M578" s="69">
        <f ca="1">IF(L578=Aftensmad,Tilmeldingsoversigt!$C$17," ")</f>
        <v>27.540983606557376</v>
      </c>
      <c r="N578" s="68" t="str">
        <f>IF(Tilmeldingsoversigt!$I$9="x",Aftensmad," ")</f>
        <v>Aftensmad</v>
      </c>
      <c r="O578" s="70">
        <f ca="1">IF(N578=Aftensmad,Tilmeldingsoversigt!$C$17," ")</f>
        <v>27.540983606557376</v>
      </c>
      <c r="P578" s="66"/>
    </row>
    <row r="579" spans="2:16" x14ac:dyDescent="0.25">
      <c r="B579" s="68" t="str">
        <f>IF(Tilmeldingsoversigt!$C$10="x",biret," ")</f>
        <v>Biret</v>
      </c>
      <c r="C579" s="69">
        <f>IF(B579=biret,biretpris," ")</f>
        <v>0</v>
      </c>
      <c r="D579" s="68" t="str">
        <f>IF(Tilmeldingsoversigt!$D$10="x",biret," ")</f>
        <v>Biret</v>
      </c>
      <c r="E579" s="69">
        <f>IF(D579=biret,biretpris," ")</f>
        <v>0</v>
      </c>
      <c r="F579" s="68" t="str">
        <f>IF(Tilmeldingsoversigt!$E$10="x",biret," ")</f>
        <v>Biret</v>
      </c>
      <c r="G579" s="69">
        <f>IF(F579=biret,biretpris," ")</f>
        <v>0</v>
      </c>
      <c r="H579" s="68" t="str">
        <f>IF(Tilmeldingsoversigt!$F$10="x",biret," ")</f>
        <v>Biret</v>
      </c>
      <c r="I579" s="69">
        <f>IF(H579=biret,biretpris," ")</f>
        <v>0</v>
      </c>
      <c r="J579" s="68" t="str">
        <f>IF(Tilmeldingsoversigt!$G$10="x",biret," ")</f>
        <v>Biret</v>
      </c>
      <c r="K579" s="69">
        <f>IF(J579=biret,biretpris," ")</f>
        <v>0</v>
      </c>
      <c r="L579" s="68" t="str">
        <f>IF(Tilmeldingsoversigt!$H$10="x",biret," ")</f>
        <v>Biret</v>
      </c>
      <c r="M579" s="69">
        <f>IF(L579=biret,biretpris," ")</f>
        <v>0</v>
      </c>
      <c r="N579" s="68" t="str">
        <f>IF(Tilmeldingsoversigt!$I$10="x",biret," ")</f>
        <v>Biret</v>
      </c>
      <c r="O579" s="70">
        <f>IF(N579=biret,biretpris," ")</f>
        <v>0</v>
      </c>
      <c r="P579" s="66"/>
    </row>
    <row r="580" spans="2:16" x14ac:dyDescent="0.25">
      <c r="B580" s="71" t="str">
        <f>IF(Tilmeldingsoversigt!$C$11="x",mellemmåltid," ")</f>
        <v xml:space="preserve"> </v>
      </c>
      <c r="C580" s="72" t="str">
        <f>IF(B580=mellemmåltid,mellemmåltidspris," ")</f>
        <v xml:space="preserve"> </v>
      </c>
      <c r="D580" s="71" t="str">
        <f>IF(Tilmeldingsoversigt!$C$11="x",mellemmåltid," ")</f>
        <v xml:space="preserve"> </v>
      </c>
      <c r="E580" s="72" t="str">
        <f>IF(D580=mellemmåltid,mellemmåltidspris," ")</f>
        <v xml:space="preserve"> </v>
      </c>
      <c r="F580" s="71" t="str">
        <f>IF(Tilmeldingsoversigt!$C$11="x",mellemmåltid," ")</f>
        <v xml:space="preserve"> </v>
      </c>
      <c r="G580" s="72" t="str">
        <f>IF(F580=mellemmåltid,mellemmåltidspris," ")</f>
        <v xml:space="preserve"> </v>
      </c>
      <c r="H580" s="71" t="str">
        <f>IF(Tilmeldingsoversigt!$C$11="x",mellemmåltid," ")</f>
        <v xml:space="preserve"> </v>
      </c>
      <c r="I580" s="72" t="str">
        <f>IF(H580=mellemmåltid,mellemmåltidspris," ")</f>
        <v xml:space="preserve"> </v>
      </c>
      <c r="J580" s="71" t="str">
        <f>IF(Tilmeldingsoversigt!$C$11="x",mellemmåltid," ")</f>
        <v xml:space="preserve"> </v>
      </c>
      <c r="K580" s="72" t="str">
        <f>IF(J580=mellemmåltid,mellemmåltidspris," ")</f>
        <v xml:space="preserve"> </v>
      </c>
      <c r="L580" s="71" t="str">
        <f>IF(Tilmeldingsoversigt!$C$11="x",mellemmåltid," ")</f>
        <v xml:space="preserve"> </v>
      </c>
      <c r="M580" s="72" t="str">
        <f>IF(L580=mellemmåltid,mellemmåltidspris," ")</f>
        <v xml:space="preserve"> </v>
      </c>
      <c r="N580" s="71" t="str">
        <f>IF(Tilmeldingsoversigt!$C$11="x",mellemmåltid," ")</f>
        <v xml:space="preserve"> </v>
      </c>
      <c r="O580" s="73" t="str">
        <f>IF(N580=mellemmåltid,mellemmåltidspris," ")</f>
        <v xml:space="preserve"> </v>
      </c>
      <c r="P580" s="66"/>
    </row>
    <row r="581" spans="2:16" x14ac:dyDescent="0.25">
      <c r="B581" s="74" t="s">
        <v>44</v>
      </c>
      <c r="C581" s="11">
        <f ca="1">SUM(C576:C580)</f>
        <v>99.311475409836063</v>
      </c>
      <c r="D581" s="74"/>
      <c r="E581" s="11">
        <f ca="1">SUM(E576:E580)</f>
        <v>99.311475409836063</v>
      </c>
      <c r="F581" s="74"/>
      <c r="G581" s="11">
        <f ca="1">SUM(G576:G580)</f>
        <v>99.311475409836063</v>
      </c>
      <c r="H581" s="74"/>
      <c r="I581" s="11">
        <f ca="1">SUM(I576:I580)</f>
        <v>99.311475409836063</v>
      </c>
      <c r="J581" s="74"/>
      <c r="K581" s="11">
        <f ca="1">SUM(K576:K580)</f>
        <v>99.311475409836063</v>
      </c>
      <c r="L581" s="74"/>
      <c r="M581" s="11">
        <f ca="1">SUM(M576:M580)</f>
        <v>99.311475409836063</v>
      </c>
      <c r="N581" s="74"/>
      <c r="O581" s="12">
        <f ca="1">SUM(O576:O580)</f>
        <v>99.311475409836063</v>
      </c>
      <c r="P581" s="75">
        <f ca="1">SUMIF(B574:N574,"&gt;="&amp;15,C581:O581)</f>
        <v>397.24590163934425</v>
      </c>
    </row>
    <row r="582" spans="2:16" x14ac:dyDescent="0.2">
      <c r="B582" s="76"/>
      <c r="C582" s="77"/>
      <c r="D582" s="77"/>
      <c r="E582" s="77"/>
      <c r="F582" s="77"/>
      <c r="G582" s="77"/>
      <c r="H582" s="77"/>
      <c r="I582" s="77"/>
      <c r="J582" s="77"/>
      <c r="K582" s="77"/>
      <c r="L582" s="77"/>
      <c r="M582" s="77"/>
      <c r="N582" s="77"/>
      <c r="O582" s="77"/>
      <c r="P582" s="76"/>
    </row>
    <row r="583" spans="2:16" ht="12.75" hidden="1" x14ac:dyDescent="0.25">
      <c r="B583" s="78">
        <f>DAY(IF(DAY(OktSøn1)=1,OktSøn1+29,OktSøn1+36))</f>
        <v>4</v>
      </c>
      <c r="C583" s="91"/>
      <c r="D583" s="78">
        <f>DAY(IF(DAY(OktSøn1)=1,OktSøn1+30,OktSøn1+37))</f>
        <v>5</v>
      </c>
      <c r="E583" s="79"/>
      <c r="F583" s="92">
        <f>DAY(IF(DAY(OktSøn1)=1,OktSøn1+31,OktSøn1+38))</f>
        <v>6</v>
      </c>
      <c r="G583" s="79"/>
      <c r="H583" s="78">
        <f>DAY(IF(DAY(OktSøn1)=1,OktSøn1+32,OktSøn1+39))</f>
        <v>7</v>
      </c>
      <c r="I583" s="79"/>
      <c r="J583" s="78">
        <f>DAY(IF(DAY(OktSøn1)=1,OktSøn1+33,OktSøn1+40))</f>
        <v>8</v>
      </c>
      <c r="K583" s="79"/>
      <c r="L583" s="78">
        <f>DAY(IF(DAY(OktSøn1)=1,OktSøn1+34,OktSøn1+41))</f>
        <v>9</v>
      </c>
      <c r="M583" s="79"/>
      <c r="N583" s="78">
        <f>DAY(IF(DAY(OktSøn1)=1,OktSøn1+35,OktSøn1+42))</f>
        <v>10</v>
      </c>
      <c r="O583" s="79"/>
      <c r="P583" s="85"/>
    </row>
    <row r="584" spans="2:16" hidden="1" x14ac:dyDescent="0.25">
      <c r="B584" s="64" t="s">
        <v>42</v>
      </c>
      <c r="C584" s="81" t="s">
        <v>43</v>
      </c>
      <c r="D584" s="64" t="s">
        <v>42</v>
      </c>
      <c r="E584" s="81" t="s">
        <v>43</v>
      </c>
      <c r="F584" s="64" t="s">
        <v>42</v>
      </c>
      <c r="G584" s="81" t="s">
        <v>43</v>
      </c>
      <c r="H584" s="64" t="s">
        <v>42</v>
      </c>
      <c r="I584" s="81" t="s">
        <v>43</v>
      </c>
      <c r="J584" s="64" t="s">
        <v>42</v>
      </c>
      <c r="K584" s="81" t="s">
        <v>43</v>
      </c>
      <c r="L584" s="64" t="s">
        <v>42</v>
      </c>
      <c r="M584" s="81" t="s">
        <v>43</v>
      </c>
      <c r="N584" s="64" t="s">
        <v>42</v>
      </c>
      <c r="O584" s="82" t="s">
        <v>43</v>
      </c>
      <c r="P584" s="66"/>
    </row>
    <row r="585" spans="2:16" hidden="1" x14ac:dyDescent="0.25">
      <c r="B585" s="136" t="str">
        <f>IF(Tilmeldingsoversigt!$C$7="x",Morgenmad," ")</f>
        <v>Morgenmad</v>
      </c>
      <c r="C585" s="67">
        <f ca="1">IF(B585=Morgenmad,Tilmeldingsoversigt!$C$15," ")</f>
        <v>16.754098360655739</v>
      </c>
      <c r="D585" s="136"/>
      <c r="E585" s="67"/>
      <c r="F585" s="136"/>
      <c r="G585" s="67"/>
      <c r="H585" s="136"/>
      <c r="I585" s="67"/>
      <c r="J585" s="136"/>
      <c r="K585" s="67"/>
      <c r="L585" s="136"/>
      <c r="M585" s="67"/>
      <c r="N585" s="136"/>
      <c r="O585" s="83"/>
      <c r="P585" s="66"/>
    </row>
    <row r="586" spans="2:16" hidden="1" x14ac:dyDescent="0.25">
      <c r="B586" s="68" t="str">
        <f>IF(Tilmeldingsoversigt!$C$8="x",hovedret," ")</f>
        <v>Hovedret</v>
      </c>
      <c r="C586" s="69">
        <f ca="1">IF(B586=hovedret,Tilmeldingsoversigt!$C$16," ")</f>
        <v>55.016393442622949</v>
      </c>
      <c r="D586" s="68"/>
      <c r="E586" s="69"/>
      <c r="F586" s="68"/>
      <c r="G586" s="69"/>
      <c r="H586" s="68"/>
      <c r="I586" s="69"/>
      <c r="J586" s="68"/>
      <c r="K586" s="69"/>
      <c r="L586" s="68"/>
      <c r="M586" s="69"/>
      <c r="N586" s="68"/>
      <c r="O586" s="70"/>
      <c r="P586" s="66"/>
    </row>
    <row r="587" spans="2:16" hidden="1" x14ac:dyDescent="0.25">
      <c r="B587" s="68" t="str">
        <f>IF(Tilmeldingsoversigt!$C$9="x",Aftensmad," ")</f>
        <v>Aftensmad</v>
      </c>
      <c r="C587" s="69">
        <f ca="1">IF(B587=Aftensmad,Tilmeldingsoversigt!$C$17," ")</f>
        <v>27.540983606557376</v>
      </c>
      <c r="D587" s="68"/>
      <c r="E587" s="69"/>
      <c r="F587" s="68"/>
      <c r="G587" s="69"/>
      <c r="H587" s="68"/>
      <c r="I587" s="69"/>
      <c r="J587" s="68"/>
      <c r="K587" s="69"/>
      <c r="L587" s="68"/>
      <c r="M587" s="69"/>
      <c r="N587" s="68"/>
      <c r="O587" s="70"/>
      <c r="P587" s="66"/>
    </row>
    <row r="588" spans="2:16" hidden="1" x14ac:dyDescent="0.25">
      <c r="B588" s="68" t="str">
        <f>IF(Tilmeldingsoversigt!$C$10="x",biret," ")</f>
        <v>Biret</v>
      </c>
      <c r="C588" s="69">
        <f>IF(B588=biret,biretpris," ")</f>
        <v>0</v>
      </c>
      <c r="D588" s="68"/>
      <c r="E588" s="69"/>
      <c r="F588" s="68"/>
      <c r="G588" s="69"/>
      <c r="H588" s="68"/>
      <c r="I588" s="69"/>
      <c r="J588" s="68"/>
      <c r="K588" s="69"/>
      <c r="L588" s="68"/>
      <c r="M588" s="69"/>
      <c r="N588" s="68"/>
      <c r="O588" s="70"/>
      <c r="P588" s="66"/>
    </row>
    <row r="589" spans="2:16" hidden="1" x14ac:dyDescent="0.25">
      <c r="B589" s="71" t="str">
        <f>IF(Tilmeldingsoversigt!$C$11="x",mellemmåltid," ")</f>
        <v xml:space="preserve"> </v>
      </c>
      <c r="C589" s="72" t="str">
        <f>IF(B589=mellemmåltid,mellemmåltidspris," ")</f>
        <v xml:space="preserve"> </v>
      </c>
      <c r="D589" s="71"/>
      <c r="E589" s="72"/>
      <c r="F589" s="71"/>
      <c r="G589" s="72"/>
      <c r="H589" s="71"/>
      <c r="I589" s="72"/>
      <c r="J589" s="71"/>
      <c r="K589" s="72"/>
      <c r="L589" s="71"/>
      <c r="M589" s="72"/>
      <c r="N589" s="71"/>
      <c r="O589" s="73"/>
      <c r="P589" s="66"/>
    </row>
    <row r="590" spans="2:16" hidden="1" x14ac:dyDescent="0.25">
      <c r="B590" s="74" t="s">
        <v>44</v>
      </c>
      <c r="C590" s="11">
        <f ca="1">SUM(C585:C589)</f>
        <v>99.311475409836063</v>
      </c>
      <c r="D590" s="74"/>
      <c r="E590" s="11">
        <f>SUM(E585:E589)</f>
        <v>0</v>
      </c>
      <c r="F590" s="74"/>
      <c r="G590" s="11">
        <f>SUM(G585:G589)</f>
        <v>0</v>
      </c>
      <c r="H590" s="74"/>
      <c r="I590" s="11">
        <f>SUM(I585:I589)</f>
        <v>0</v>
      </c>
      <c r="J590" s="74"/>
      <c r="K590" s="11">
        <f>SUM(K585:K589)</f>
        <v>0</v>
      </c>
      <c r="L590" s="74"/>
      <c r="M590" s="11">
        <f>SUM(M585:M589)</f>
        <v>0</v>
      </c>
      <c r="N590" s="74"/>
      <c r="O590" s="12">
        <f>SUM(O585:O589)</f>
        <v>0</v>
      </c>
      <c r="P590" s="75">
        <f>SUMIF(B583:N583,"&gt;="&amp;15,C590:O590)</f>
        <v>0</v>
      </c>
    </row>
    <row r="591" spans="2:16" ht="17.25" customHeight="1" x14ac:dyDescent="0.2"/>
    <row r="592" spans="2:16" ht="15" x14ac:dyDescent="0.25">
      <c r="B592" s="246" t="s">
        <v>54</v>
      </c>
      <c r="C592" s="246"/>
      <c r="D592" s="246"/>
      <c r="E592" s="246"/>
      <c r="F592" s="51" t="s">
        <v>82</v>
      </c>
      <c r="G592" s="51"/>
      <c r="H592" s="51"/>
      <c r="I592" s="51"/>
      <c r="J592" s="51"/>
      <c r="K592" s="51"/>
      <c r="L592" s="247" t="s">
        <v>83</v>
      </c>
      <c r="M592" s="247"/>
      <c r="N592" s="247" t="s">
        <v>85</v>
      </c>
      <c r="O592" s="247"/>
      <c r="P592" s="49"/>
    </row>
    <row r="593" spans="2:16" ht="25.5" customHeight="1" x14ac:dyDescent="0.25">
      <c r="B593" s="246"/>
      <c r="C593" s="246"/>
      <c r="D593" s="246"/>
      <c r="E593" s="246"/>
      <c r="F593" s="97" t="str">
        <f>Morgenmad</f>
        <v>Morgenmad</v>
      </c>
      <c r="G593" s="97">
        <f ca="1">IF(november_sum=0,0,(COUNTIF($B$599:$O$648,F593)-'Tilmeldte måltider'!G602))</f>
        <v>0</v>
      </c>
      <c r="H593" s="97" t="str">
        <f>hovedret</f>
        <v>Hovedret</v>
      </c>
      <c r="I593" s="97">
        <f ca="1">IF(november_sum=0,0,(COUNTIF(B598:O647,hovedret)-'Tilmeldte måltider'!I602))</f>
        <v>0</v>
      </c>
      <c r="J593" s="97" t="str">
        <f>Aftensmad</f>
        <v>Aftensmad</v>
      </c>
      <c r="K593" s="97">
        <f ca="1">IF(november_sum=0,0,(COUNTIF(B598:O647,Aftensmad)-'Tilmeldte måltider'!K602))</f>
        <v>0</v>
      </c>
      <c r="L593" s="268" t="e">
        <f ca="1">(G593*Morgenpris)+(I593*Frokostpris)+(K593*Aftenpris)+(G594*biretpris)+(I594*mellemmåltidspris)+(M594*gæstehpris)+(O594*gæstebpris)</f>
        <v>#VALUE!</v>
      </c>
      <c r="M593" s="269"/>
      <c r="N593" s="270" t="e">
        <f ca="1">$L$357+$L$416+$L$475+$L$534+$L$593+$L$652</f>
        <v>#VALUE!</v>
      </c>
      <c r="O593" s="271"/>
      <c r="P593" s="49"/>
    </row>
    <row r="594" spans="2:16" ht="25.5" customHeight="1" x14ac:dyDescent="0.45">
      <c r="B594" s="121"/>
      <c r="C594" s="121"/>
      <c r="D594" s="121"/>
      <c r="E594" s="121"/>
      <c r="F594" s="98" t="str">
        <f>biret</f>
        <v>Biret</v>
      </c>
      <c r="G594" s="97">
        <f ca="1">IF(november_sum=0,0,(COUNTIF($B$599:$O$648,F594)-'Tilmeldte måltider'!G603))</f>
        <v>0</v>
      </c>
      <c r="H594" s="98" t="str">
        <f>mellemmåltid</f>
        <v>Mellemmåltid</v>
      </c>
      <c r="I594" s="97">
        <f ca="1">IF(november_sum=0,0,(COUNTIF($B$599:$O$648,H594)-'Tilmeldte måltider'!I603))</f>
        <v>0</v>
      </c>
      <c r="J594" s="140" t="s">
        <v>105</v>
      </c>
      <c r="K594" s="140"/>
      <c r="L594" s="141" t="s">
        <v>25</v>
      </c>
      <c r="M594" s="100"/>
      <c r="N594" s="141" t="s">
        <v>15</v>
      </c>
      <c r="O594" s="100"/>
      <c r="P594" s="49"/>
    </row>
    <row r="595" spans="2:16" ht="9" customHeight="1" x14ac:dyDescent="0.2">
      <c r="B595" s="260">
        <v>1</v>
      </c>
      <c r="C595" s="260"/>
      <c r="D595" s="260">
        <v>2</v>
      </c>
      <c r="E595" s="260"/>
      <c r="F595" s="260">
        <v>3</v>
      </c>
      <c r="G595" s="260"/>
      <c r="H595" s="260">
        <v>4</v>
      </c>
      <c r="I595" s="260"/>
      <c r="J595" s="260">
        <v>5</v>
      </c>
      <c r="K595" s="260"/>
      <c r="L595" s="260">
        <v>6</v>
      </c>
      <c r="M595" s="260"/>
      <c r="N595" s="260">
        <v>7</v>
      </c>
      <c r="O595" s="260"/>
      <c r="P595" s="50"/>
    </row>
    <row r="596" spans="2:16" ht="15" customHeight="1" x14ac:dyDescent="0.25">
      <c r="B596" s="263" t="s">
        <v>34</v>
      </c>
      <c r="C596" s="264"/>
      <c r="D596" s="123" t="s">
        <v>35</v>
      </c>
      <c r="E596" s="124" t="e">
        <f>IF(WEEKDAY(DATEVALUE(Month1&amp;" 1, "&amp;Year1))=COLUMN(#REF!),1,IF(LEN(C596)&gt;0,C596+1,""))</f>
        <v>#NAME?</v>
      </c>
      <c r="F596" s="122" t="s">
        <v>36</v>
      </c>
      <c r="G596" s="122" t="e">
        <f>IF(WEEKDAY(DATEVALUE(Month1&amp;" 1, "&amp;Year1))=COLUMN(#REF!),1,IF(LEN(E596)&gt;0,E596+1,""))</f>
        <v>#NAME?</v>
      </c>
      <c r="H596" s="254" t="s">
        <v>37</v>
      </c>
      <c r="I596" s="255" t="e">
        <f>IF(WEEKDAY(DATEVALUE(Month1&amp;" 1, "&amp;Year1))=COLUMN(#REF!),1,IF(LEN(G596)&gt;0,G596+1,""))</f>
        <v>#NAME?</v>
      </c>
      <c r="J596" s="254" t="s">
        <v>38</v>
      </c>
      <c r="K596" s="255" t="e">
        <f>IF(WEEKDAY(DATEVALUE(Month1&amp;" 1, "&amp;Year1))=COLUMN(#REF!),1,IF(LEN(I596)&gt;0,I596+1,""))</f>
        <v>#NAME?</v>
      </c>
      <c r="L596" s="254" t="s">
        <v>39</v>
      </c>
      <c r="M596" s="255" t="e">
        <f>IF(WEEKDAY(DATEVALUE(Month1&amp;" 1, "&amp;Year1))=COLUMN(#REF!),1,IF(LEN(K596)&gt;0,K596+1,""))</f>
        <v>#NAME?</v>
      </c>
      <c r="N596" s="254" t="s">
        <v>40</v>
      </c>
      <c r="O596" s="255" t="e">
        <f>IF(WEEKDAY(DATEVALUE(Month1&amp;" 1, "&amp;Year1))=COLUMN(#REF!),1,IF(LEN(M596)&gt;0,M596+1,""))</f>
        <v>#NAME?</v>
      </c>
      <c r="P596" s="53" t="s">
        <v>41</v>
      </c>
    </row>
    <row r="597" spans="2:16" ht="12.75" x14ac:dyDescent="0.25">
      <c r="B597" s="55">
        <f>DAY(IF(DAY(NovSøn1)=1,NovSøn1-6,NovSøn1+1))</f>
        <v>28</v>
      </c>
      <c r="C597" s="56"/>
      <c r="D597" s="57">
        <f>DAY(IF(DAY(NovSøn1)=1,NovSøn1-5,NovSøn1+2))</f>
        <v>29</v>
      </c>
      <c r="E597" s="56"/>
      <c r="F597" s="57">
        <f>DAY(IF(DAY(NovSøn1)=1,NovSøn1-4,NovSøn1+3))</f>
        <v>30</v>
      </c>
      <c r="G597" s="56"/>
      <c r="H597" s="57">
        <f>DAY(IF(DAY(NovSøn1)=1,NovSøn1-3,NovSøn1+4))</f>
        <v>31</v>
      </c>
      <c r="I597" s="56"/>
      <c r="J597" s="57">
        <f>DAY(IF(DAY(NovSøn1)=1,NovSøn1-2,NovSøn1+5))</f>
        <v>1</v>
      </c>
      <c r="K597" s="56"/>
      <c r="L597" s="57">
        <f>DAY(IF(DAY(NovSøn1)=1,NovSøn1-1,NovSøn1+6))</f>
        <v>2</v>
      </c>
      <c r="M597" s="56"/>
      <c r="N597" s="58">
        <f>DAY(IF(DAY(NovSøn1)=1,NovSøn1,NovSøn1+7))</f>
        <v>3</v>
      </c>
      <c r="O597" s="59"/>
      <c r="P597" s="60"/>
    </row>
    <row r="598" spans="2:16" x14ac:dyDescent="0.25">
      <c r="B598" s="61" t="s">
        <v>42</v>
      </c>
      <c r="C598" s="62" t="s">
        <v>43</v>
      </c>
      <c r="D598" s="63" t="s">
        <v>42</v>
      </c>
      <c r="E598" s="62" t="s">
        <v>43</v>
      </c>
      <c r="F598" s="63" t="s">
        <v>42</v>
      </c>
      <c r="G598" s="62" t="s">
        <v>43</v>
      </c>
      <c r="H598" s="63" t="s">
        <v>42</v>
      </c>
      <c r="I598" s="62" t="s">
        <v>43</v>
      </c>
      <c r="J598" s="63" t="s">
        <v>42</v>
      </c>
      <c r="K598" s="62" t="s">
        <v>43</v>
      </c>
      <c r="L598" s="63" t="s">
        <v>42</v>
      </c>
      <c r="M598" s="62" t="s">
        <v>43</v>
      </c>
      <c r="N598" s="64" t="s">
        <v>42</v>
      </c>
      <c r="O598" s="65" t="s">
        <v>43</v>
      </c>
      <c r="P598" s="66"/>
    </row>
    <row r="599" spans="2:16" x14ac:dyDescent="0.25">
      <c r="B599" s="136"/>
      <c r="C599" s="67"/>
      <c r="D599" s="136" t="str">
        <f>IF(Tilmeldingsoversigt!$D$7="x",Morgenmad," ")</f>
        <v>Morgenmad</v>
      </c>
      <c r="E599" s="67">
        <f ca="1">IF(D599=Morgenmad,Tilmeldingsoversigt!$C$15," ")</f>
        <v>16.754098360655739</v>
      </c>
      <c r="F599" s="136" t="str">
        <f>IF(Tilmeldingsoversigt!$E$7="x",Morgenmad," ")</f>
        <v>Morgenmad</v>
      </c>
      <c r="G599" s="67">
        <f ca="1">IF(F599=Morgenmad,Tilmeldingsoversigt!$C$15," ")</f>
        <v>16.754098360655739</v>
      </c>
      <c r="H599" s="136" t="str">
        <f>IF(Tilmeldingsoversigt!$F$7="x",Morgenmad," ")</f>
        <v>Morgenmad</v>
      </c>
      <c r="I599" s="67">
        <f ca="1">IF(H599=Morgenmad,Tilmeldingsoversigt!$C$15," ")</f>
        <v>16.754098360655739</v>
      </c>
      <c r="J599" s="136" t="str">
        <f>IF(Tilmeldingsoversigt!$G$7="x",Morgenmad," ")</f>
        <v>Morgenmad</v>
      </c>
      <c r="K599" s="67">
        <f ca="1">IF(J599=Morgenmad,Tilmeldingsoversigt!$C$15," ")</f>
        <v>16.754098360655739</v>
      </c>
      <c r="L599" s="136" t="str">
        <f>IF(Tilmeldingsoversigt!$H$7="x",Morgenmad," ")</f>
        <v>Morgenmad</v>
      </c>
      <c r="M599" s="67">
        <f ca="1">IF(L599=Morgenmad,Tilmeldingsoversigt!$C$15," ")</f>
        <v>16.754098360655739</v>
      </c>
      <c r="N599" s="136" t="str">
        <f>IF(Tilmeldingsoversigt!$I$7="x",Morgenmad," ")</f>
        <v>Morgenmad</v>
      </c>
      <c r="O599" s="83">
        <f ca="1">IF(N599=Morgenmad,Tilmeldingsoversigt!$C$15," ")</f>
        <v>16.754098360655739</v>
      </c>
      <c r="P599" s="66"/>
    </row>
    <row r="600" spans="2:16" x14ac:dyDescent="0.25">
      <c r="B600" s="68"/>
      <c r="C600" s="69"/>
      <c r="D600" s="68" t="str">
        <f>IF(Tilmeldingsoversigt!$D$8="x",hovedret," ")</f>
        <v>Hovedret</v>
      </c>
      <c r="E600" s="69">
        <f ca="1">IF(D600=hovedret,Tilmeldingsoversigt!$C$16," ")</f>
        <v>55.016393442622949</v>
      </c>
      <c r="F600" s="68" t="str">
        <f>IF(Tilmeldingsoversigt!$E$8="x",hovedret," ")</f>
        <v>Hovedret</v>
      </c>
      <c r="G600" s="69">
        <f ca="1">IF(F600=hovedret,Tilmeldingsoversigt!$C$16," ")</f>
        <v>55.016393442622949</v>
      </c>
      <c r="H600" s="68" t="str">
        <f>IF(Tilmeldingsoversigt!$F$8="x",hovedret," ")</f>
        <v>Hovedret</v>
      </c>
      <c r="I600" s="69">
        <f ca="1">IF(H600=hovedret,Tilmeldingsoversigt!$C$16," ")</f>
        <v>55.016393442622949</v>
      </c>
      <c r="J600" s="68" t="str">
        <f>IF(Tilmeldingsoversigt!$G$8="x",hovedret," ")</f>
        <v>Hovedret</v>
      </c>
      <c r="K600" s="69">
        <f ca="1">IF(J600=hovedret,Tilmeldingsoversigt!$C$16," ")</f>
        <v>55.016393442622949</v>
      </c>
      <c r="L600" s="68" t="str">
        <f>IF(Tilmeldingsoversigt!$H$8="x",hovedret," ")</f>
        <v>Hovedret</v>
      </c>
      <c r="M600" s="69">
        <f ca="1">IF(L600=hovedret,Tilmeldingsoversigt!$C$16," ")</f>
        <v>55.016393442622949</v>
      </c>
      <c r="N600" s="68" t="str">
        <f>IF(Tilmeldingsoversigt!$I$8="x",hovedret," ")</f>
        <v>Hovedret</v>
      </c>
      <c r="O600" s="70">
        <f ca="1">IF(N600=hovedret,Tilmeldingsoversigt!$C$16," ")</f>
        <v>55.016393442622949</v>
      </c>
      <c r="P600" s="66"/>
    </row>
    <row r="601" spans="2:16" x14ac:dyDescent="0.25">
      <c r="B601" s="68"/>
      <c r="C601" s="69"/>
      <c r="D601" s="68" t="str">
        <f>IF(Tilmeldingsoversigt!$D$9="x",Aftensmad," ")</f>
        <v>Aftensmad</v>
      </c>
      <c r="E601" s="69">
        <f ca="1">IF(D601=Aftensmad,Tilmeldingsoversigt!$C$17," ")</f>
        <v>27.540983606557376</v>
      </c>
      <c r="F601" s="68" t="str">
        <f>IF(Tilmeldingsoversigt!$E$9="x",Aftensmad," ")</f>
        <v>Aftensmad</v>
      </c>
      <c r="G601" s="69">
        <f ca="1">IF(F601=Aftensmad,Tilmeldingsoversigt!$C$17," ")</f>
        <v>27.540983606557376</v>
      </c>
      <c r="H601" s="68" t="str">
        <f>IF(Tilmeldingsoversigt!$F$9="x",Aftensmad," ")</f>
        <v>Aftensmad</v>
      </c>
      <c r="I601" s="69">
        <f ca="1">IF(H601=Aftensmad,Tilmeldingsoversigt!$C$17," ")</f>
        <v>27.540983606557376</v>
      </c>
      <c r="J601" s="68" t="str">
        <f>IF(Tilmeldingsoversigt!$G$9="x",Aftensmad," ")</f>
        <v>Aftensmad</v>
      </c>
      <c r="K601" s="69">
        <f ca="1">IF(J601=Aftensmad,Tilmeldingsoversigt!$C$17," ")</f>
        <v>27.540983606557376</v>
      </c>
      <c r="L601" s="68" t="str">
        <f>IF(Tilmeldingsoversigt!$H$9="x",Aftensmad," ")</f>
        <v>Aftensmad</v>
      </c>
      <c r="M601" s="69">
        <f ca="1">IF(L601=Aftensmad,Tilmeldingsoversigt!$C$17," ")</f>
        <v>27.540983606557376</v>
      </c>
      <c r="N601" s="68" t="str">
        <f>IF(Tilmeldingsoversigt!$I$9="x",Aftensmad," ")</f>
        <v>Aftensmad</v>
      </c>
      <c r="O601" s="70">
        <f ca="1">IF(N601=Aftensmad,Tilmeldingsoversigt!$C$17," ")</f>
        <v>27.540983606557376</v>
      </c>
      <c r="P601" s="66"/>
    </row>
    <row r="602" spans="2:16" x14ac:dyDescent="0.25">
      <c r="B602" s="68"/>
      <c r="C602" s="69"/>
      <c r="D602" s="68" t="str">
        <f>IF(Tilmeldingsoversigt!$D$10="x",biret," ")</f>
        <v>Biret</v>
      </c>
      <c r="E602" s="69">
        <f>IF(D602=biret,biretpris," ")</f>
        <v>0</v>
      </c>
      <c r="F602" s="68" t="str">
        <f>IF(Tilmeldingsoversigt!$E$10="x",biret," ")</f>
        <v>Biret</v>
      </c>
      <c r="G602" s="69">
        <f>IF(F602=biret,biretpris," ")</f>
        <v>0</v>
      </c>
      <c r="H602" s="68" t="str">
        <f>IF(Tilmeldingsoversigt!$F$10="x",biret," ")</f>
        <v>Biret</v>
      </c>
      <c r="I602" s="69">
        <f>IF(H602=biret,biretpris," ")</f>
        <v>0</v>
      </c>
      <c r="J602" s="68" t="str">
        <f>IF(Tilmeldingsoversigt!$G$10="x",biret," ")</f>
        <v>Biret</v>
      </c>
      <c r="K602" s="69">
        <f>IF(J602=biret,biretpris," ")</f>
        <v>0</v>
      </c>
      <c r="L602" s="68" t="str">
        <f>IF(Tilmeldingsoversigt!$H$10="x",biret," ")</f>
        <v>Biret</v>
      </c>
      <c r="M602" s="69">
        <f>IF(L602=biret,biretpris," ")</f>
        <v>0</v>
      </c>
      <c r="N602" s="68" t="str">
        <f>IF(Tilmeldingsoversigt!$I$10="x",biret," ")</f>
        <v>Biret</v>
      </c>
      <c r="O602" s="69">
        <f>IF(N602=biret,biretpris," ")</f>
        <v>0</v>
      </c>
      <c r="P602" s="66"/>
    </row>
    <row r="603" spans="2:16" x14ac:dyDescent="0.25">
      <c r="B603" s="71"/>
      <c r="C603" s="72"/>
      <c r="D603" s="71" t="str">
        <f>IF(Tilmeldingsoversigt!$C$11="x",mellemmåltid," ")</f>
        <v xml:space="preserve"> </v>
      </c>
      <c r="E603" s="72" t="str">
        <f>IF(D603=mellemmåltid,mellemmåltidspris," ")</f>
        <v xml:space="preserve"> </v>
      </c>
      <c r="F603" s="71" t="str">
        <f>IF(Tilmeldingsoversigt!$C$11="x",mellemmåltid," ")</f>
        <v xml:space="preserve"> </v>
      </c>
      <c r="G603" s="72" t="str">
        <f>IF(F603=mellemmåltid,mellemmåltidspris," ")</f>
        <v xml:space="preserve"> </v>
      </c>
      <c r="H603" s="71" t="str">
        <f>IF(Tilmeldingsoversigt!$C$11="x",mellemmåltid," ")</f>
        <v xml:space="preserve"> </v>
      </c>
      <c r="I603" s="72" t="str">
        <f>IF(H603=mellemmåltid,mellemmåltidspris," ")</f>
        <v xml:space="preserve"> </v>
      </c>
      <c r="J603" s="71" t="str">
        <f>IF(Tilmeldingsoversigt!$C$11="x",mellemmåltid," ")</f>
        <v xml:space="preserve"> </v>
      </c>
      <c r="K603" s="72" t="str">
        <f>IF(J603=mellemmåltid,mellemmåltidspris," ")</f>
        <v xml:space="preserve"> </v>
      </c>
      <c r="L603" s="71" t="str">
        <f>IF(Tilmeldingsoversigt!$C$11="x",mellemmåltid," ")</f>
        <v xml:space="preserve"> </v>
      </c>
      <c r="M603" s="72" t="str">
        <f>IF(L603=mellemmåltid,mellemmåltidspris," ")</f>
        <v xml:space="preserve"> </v>
      </c>
      <c r="N603" s="71" t="str">
        <f>IF(Tilmeldingsoversigt!$C$11="x",mellemmåltid," ")</f>
        <v xml:space="preserve"> </v>
      </c>
      <c r="O603" s="72" t="str">
        <f>IF(N603=mellemmåltid,mellemmåltidspris," ")</f>
        <v xml:space="preserve"> </v>
      </c>
      <c r="P603" s="66"/>
    </row>
    <row r="604" spans="2:16" x14ac:dyDescent="0.25">
      <c r="B604" s="74" t="s">
        <v>44</v>
      </c>
      <c r="C604" s="11">
        <f>SUM(C599:C603)</f>
        <v>0</v>
      </c>
      <c r="D604" s="74"/>
      <c r="E604" s="11">
        <f ca="1">SUM(E599:E603)</f>
        <v>99.311475409836063</v>
      </c>
      <c r="F604" s="74"/>
      <c r="G604" s="11">
        <f ca="1">SUM(G599:G603)</f>
        <v>99.311475409836063</v>
      </c>
      <c r="H604" s="74"/>
      <c r="I604" s="11">
        <f ca="1">SUM(I599:I603)</f>
        <v>99.311475409836063</v>
      </c>
      <c r="J604" s="74"/>
      <c r="K604" s="11">
        <f ca="1">SUM(K599:K603)</f>
        <v>99.311475409836063</v>
      </c>
      <c r="L604" s="74"/>
      <c r="M604" s="11">
        <f ca="1">SUM(M599:M603)</f>
        <v>99.311475409836063</v>
      </c>
      <c r="N604" s="74"/>
      <c r="O604" s="12">
        <f ca="1">SUM(O599:O603)</f>
        <v>99.311475409836063</v>
      </c>
      <c r="P604" s="75">
        <f ca="1">SUMIF(B597:N597,"&lt;8",C604:O604)</f>
        <v>297.93442622950818</v>
      </c>
    </row>
    <row r="605" spans="2:16" x14ac:dyDescent="0.2">
      <c r="B605" s="76"/>
      <c r="C605" s="77"/>
      <c r="D605" s="77"/>
      <c r="E605" s="77"/>
      <c r="F605" s="77"/>
      <c r="G605" s="77"/>
      <c r="H605" s="77"/>
      <c r="I605" s="77"/>
      <c r="J605" s="77"/>
      <c r="K605" s="77"/>
      <c r="L605" s="77"/>
      <c r="M605" s="77"/>
      <c r="N605" s="77"/>
      <c r="O605" s="77"/>
      <c r="P605" s="76"/>
    </row>
    <row r="606" spans="2:16" ht="12.75" x14ac:dyDescent="0.25">
      <c r="B606" s="78">
        <f>N597+1</f>
        <v>4</v>
      </c>
      <c r="C606" s="79"/>
      <c r="D606" s="78">
        <f>B606+1</f>
        <v>5</v>
      </c>
      <c r="E606" s="79"/>
      <c r="F606" s="78">
        <f>D606+1</f>
        <v>6</v>
      </c>
      <c r="G606" s="79"/>
      <c r="H606" s="78">
        <f>F606+1</f>
        <v>7</v>
      </c>
      <c r="I606" s="79"/>
      <c r="J606" s="78">
        <f>H606+1</f>
        <v>8</v>
      </c>
      <c r="K606" s="79"/>
      <c r="L606" s="78">
        <f>J606+1</f>
        <v>9</v>
      </c>
      <c r="M606" s="79"/>
      <c r="N606" s="78">
        <f>L606+1</f>
        <v>10</v>
      </c>
      <c r="O606" s="79"/>
      <c r="P606" s="80"/>
    </row>
    <row r="607" spans="2:16" x14ac:dyDescent="0.25">
      <c r="B607" s="64" t="s">
        <v>42</v>
      </c>
      <c r="C607" s="81" t="s">
        <v>43</v>
      </c>
      <c r="D607" s="64" t="s">
        <v>42</v>
      </c>
      <c r="E607" s="81" t="s">
        <v>43</v>
      </c>
      <c r="F607" s="64" t="s">
        <v>42</v>
      </c>
      <c r="G607" s="81" t="s">
        <v>43</v>
      </c>
      <c r="H607" s="64" t="s">
        <v>42</v>
      </c>
      <c r="I607" s="81" t="s">
        <v>43</v>
      </c>
      <c r="J607" s="64" t="s">
        <v>42</v>
      </c>
      <c r="K607" s="81" t="s">
        <v>43</v>
      </c>
      <c r="L607" s="64" t="s">
        <v>42</v>
      </c>
      <c r="M607" s="81" t="s">
        <v>43</v>
      </c>
      <c r="N607" s="64" t="s">
        <v>42</v>
      </c>
      <c r="O607" s="82" t="s">
        <v>43</v>
      </c>
      <c r="P607" s="66"/>
    </row>
    <row r="608" spans="2:16" x14ac:dyDescent="0.25">
      <c r="B608" s="136" t="str">
        <f>IF(Tilmeldingsoversigt!$C$7="x",Morgenmad," ")</f>
        <v>Morgenmad</v>
      </c>
      <c r="C608" s="67">
        <f ca="1">IF(B608=Morgenmad,Tilmeldingsoversigt!$C$15," ")</f>
        <v>16.754098360655739</v>
      </c>
      <c r="D608" s="136" t="str">
        <f>IF(Tilmeldingsoversigt!$D$7="x",Morgenmad," ")</f>
        <v>Morgenmad</v>
      </c>
      <c r="E608" s="67">
        <f ca="1">IF(D608=Morgenmad,Tilmeldingsoversigt!$C$15," ")</f>
        <v>16.754098360655739</v>
      </c>
      <c r="F608" s="136" t="str">
        <f>IF(Tilmeldingsoversigt!$E$7="x",Morgenmad," ")</f>
        <v>Morgenmad</v>
      </c>
      <c r="G608" s="67">
        <f ca="1">IF(F608=Morgenmad,Tilmeldingsoversigt!$C$15," ")</f>
        <v>16.754098360655739</v>
      </c>
      <c r="H608" s="136" t="str">
        <f>IF(Tilmeldingsoversigt!$F$7="x",Morgenmad," ")</f>
        <v>Morgenmad</v>
      </c>
      <c r="I608" s="67">
        <f ca="1">IF(H608=Morgenmad,Tilmeldingsoversigt!$C$15," ")</f>
        <v>16.754098360655739</v>
      </c>
      <c r="J608" s="136" t="str">
        <f>IF(Tilmeldingsoversigt!$G$7="x",Morgenmad," ")</f>
        <v>Morgenmad</v>
      </c>
      <c r="K608" s="67">
        <f ca="1">IF(J608=Morgenmad,Tilmeldingsoversigt!$C$15," ")</f>
        <v>16.754098360655739</v>
      </c>
      <c r="L608" s="136" t="str">
        <f>IF(Tilmeldingsoversigt!$H$7="x",Morgenmad," ")</f>
        <v>Morgenmad</v>
      </c>
      <c r="M608" s="67">
        <f ca="1">IF(L608=Morgenmad,Tilmeldingsoversigt!$C$15," ")</f>
        <v>16.754098360655739</v>
      </c>
      <c r="N608" s="136" t="str">
        <f>IF(Tilmeldingsoversigt!$I$7="x",Morgenmad," ")</f>
        <v>Morgenmad</v>
      </c>
      <c r="O608" s="83">
        <f ca="1">IF(N608=Morgenmad,Tilmeldingsoversigt!$C$15," ")</f>
        <v>16.754098360655739</v>
      </c>
      <c r="P608" s="66"/>
    </row>
    <row r="609" spans="2:16" x14ac:dyDescent="0.25">
      <c r="B609" s="68" t="str">
        <f>IF(Tilmeldingsoversigt!$C$8="x",hovedret," ")</f>
        <v>Hovedret</v>
      </c>
      <c r="C609" s="69">
        <f ca="1">IF(B609=hovedret,Tilmeldingsoversigt!$C$16," ")</f>
        <v>55.016393442622949</v>
      </c>
      <c r="D609" s="68" t="str">
        <f>IF(Tilmeldingsoversigt!$D$8="x",hovedret," ")</f>
        <v>Hovedret</v>
      </c>
      <c r="E609" s="69">
        <f ca="1">IF(D609=hovedret,Tilmeldingsoversigt!$C$16," ")</f>
        <v>55.016393442622949</v>
      </c>
      <c r="F609" s="68" t="str">
        <f>IF(Tilmeldingsoversigt!$E$8="x",hovedret," ")</f>
        <v>Hovedret</v>
      </c>
      <c r="G609" s="69">
        <f ca="1">IF(F609=hovedret,Tilmeldingsoversigt!$C$16," ")</f>
        <v>55.016393442622949</v>
      </c>
      <c r="H609" s="68" t="str">
        <f>IF(Tilmeldingsoversigt!$F$8="x",hovedret," ")</f>
        <v>Hovedret</v>
      </c>
      <c r="I609" s="69">
        <f ca="1">IF(H609=hovedret,Tilmeldingsoversigt!$C$16," ")</f>
        <v>55.016393442622949</v>
      </c>
      <c r="J609" s="68" t="str">
        <f>IF(Tilmeldingsoversigt!$G$8="x",hovedret," ")</f>
        <v>Hovedret</v>
      </c>
      <c r="K609" s="69">
        <f ca="1">IF(J609=hovedret,Tilmeldingsoversigt!$C$16," ")</f>
        <v>55.016393442622949</v>
      </c>
      <c r="L609" s="68" t="str">
        <f>IF(Tilmeldingsoversigt!$H$8="x",hovedret," ")</f>
        <v>Hovedret</v>
      </c>
      <c r="M609" s="69">
        <f ca="1">IF(L609=hovedret,Tilmeldingsoversigt!$C$16," ")</f>
        <v>55.016393442622949</v>
      </c>
      <c r="N609" s="68" t="str">
        <f>IF(Tilmeldingsoversigt!$I$8="x",hovedret," ")</f>
        <v>Hovedret</v>
      </c>
      <c r="O609" s="70">
        <f ca="1">IF(N609=hovedret,Tilmeldingsoversigt!$C$16," ")</f>
        <v>55.016393442622949</v>
      </c>
      <c r="P609" s="66"/>
    </row>
    <row r="610" spans="2:16" x14ac:dyDescent="0.25">
      <c r="B610" s="68" t="str">
        <f>IF(Tilmeldingsoversigt!$C$9="x",Aftensmad," ")</f>
        <v>Aftensmad</v>
      </c>
      <c r="C610" s="69">
        <f ca="1">IF(B610=Aftensmad,Tilmeldingsoversigt!$C$17," ")</f>
        <v>27.540983606557376</v>
      </c>
      <c r="D610" s="68" t="str">
        <f>IF(Tilmeldingsoversigt!$D$9="x",Aftensmad," ")</f>
        <v>Aftensmad</v>
      </c>
      <c r="E610" s="69">
        <f ca="1">IF(D610=Aftensmad,Tilmeldingsoversigt!$C$17," ")</f>
        <v>27.540983606557376</v>
      </c>
      <c r="F610" s="68" t="str">
        <f>IF(Tilmeldingsoversigt!$E$9="x",Aftensmad," ")</f>
        <v>Aftensmad</v>
      </c>
      <c r="G610" s="69">
        <f ca="1">IF(F610=Aftensmad,Tilmeldingsoversigt!$C$17," ")</f>
        <v>27.540983606557376</v>
      </c>
      <c r="H610" s="68" t="str">
        <f>IF(Tilmeldingsoversigt!$F$9="x",Aftensmad," ")</f>
        <v>Aftensmad</v>
      </c>
      <c r="I610" s="69">
        <f ca="1">IF(H610=Aftensmad,Tilmeldingsoversigt!$C$17," ")</f>
        <v>27.540983606557376</v>
      </c>
      <c r="J610" s="68" t="str">
        <f>IF(Tilmeldingsoversigt!$G$9="x",Aftensmad," ")</f>
        <v>Aftensmad</v>
      </c>
      <c r="K610" s="69">
        <f ca="1">IF(J610=Aftensmad,Tilmeldingsoversigt!$C$17," ")</f>
        <v>27.540983606557376</v>
      </c>
      <c r="L610" s="68" t="str">
        <f>IF(Tilmeldingsoversigt!$H$9="x",Aftensmad," ")</f>
        <v>Aftensmad</v>
      </c>
      <c r="M610" s="69">
        <f ca="1">IF(L610=Aftensmad,Tilmeldingsoversigt!$C$17," ")</f>
        <v>27.540983606557376</v>
      </c>
      <c r="N610" s="68" t="str">
        <f>IF(Tilmeldingsoversigt!$I$9="x",Aftensmad," ")</f>
        <v>Aftensmad</v>
      </c>
      <c r="O610" s="70">
        <f ca="1">IF(N610=Aftensmad,Tilmeldingsoversigt!$C$17," ")</f>
        <v>27.540983606557376</v>
      </c>
      <c r="P610" s="66"/>
    </row>
    <row r="611" spans="2:16" x14ac:dyDescent="0.25">
      <c r="B611" s="68" t="str">
        <f>IF(Tilmeldingsoversigt!$C$10="x",biret," ")</f>
        <v>Biret</v>
      </c>
      <c r="C611" s="69">
        <f>IF(B611=biret,biretpris," ")</f>
        <v>0</v>
      </c>
      <c r="D611" s="68" t="str">
        <f>IF(Tilmeldingsoversigt!$D$10="x",biret," ")</f>
        <v>Biret</v>
      </c>
      <c r="E611" s="69">
        <f>IF(D611=biret,biretpris," ")</f>
        <v>0</v>
      </c>
      <c r="F611" s="68" t="str">
        <f>IF(Tilmeldingsoversigt!$E$10="x",biret," ")</f>
        <v>Biret</v>
      </c>
      <c r="G611" s="69">
        <f>IF(F611=biret,biretpris," ")</f>
        <v>0</v>
      </c>
      <c r="H611" s="68" t="str">
        <f>IF(Tilmeldingsoversigt!$F$10="x",biret," ")</f>
        <v>Biret</v>
      </c>
      <c r="I611" s="69">
        <f>IF(H611=biret,biretpris," ")</f>
        <v>0</v>
      </c>
      <c r="J611" s="68" t="str">
        <f>IF(Tilmeldingsoversigt!$G$10="x",biret," ")</f>
        <v>Biret</v>
      </c>
      <c r="K611" s="69">
        <f>IF(J611=biret,biretpris," ")</f>
        <v>0</v>
      </c>
      <c r="L611" s="68" t="str">
        <f>IF(Tilmeldingsoversigt!$H$10="x",biret," ")</f>
        <v>Biret</v>
      </c>
      <c r="M611" s="69">
        <f>IF(L611=biret,biretpris," ")</f>
        <v>0</v>
      </c>
      <c r="N611" s="68" t="str">
        <f>IF(Tilmeldingsoversigt!$I$10="x",biret," ")</f>
        <v>Biret</v>
      </c>
      <c r="O611" s="70">
        <f>IF(N611=biret,biretpris," ")</f>
        <v>0</v>
      </c>
      <c r="P611" s="66"/>
    </row>
    <row r="612" spans="2:16" x14ac:dyDescent="0.25">
      <c r="B612" s="71" t="str">
        <f>IF(Tilmeldingsoversigt!$C$11="x",mellemmåltid," ")</f>
        <v xml:space="preserve"> </v>
      </c>
      <c r="C612" s="72" t="str">
        <f>IF(B612=mellemmåltid,mellemmåltidspris," ")</f>
        <v xml:space="preserve"> </v>
      </c>
      <c r="D612" s="71" t="str">
        <f>IF(Tilmeldingsoversigt!$C$11="x",mellemmåltid," ")</f>
        <v xml:space="preserve"> </v>
      </c>
      <c r="E612" s="72" t="str">
        <f>IF(D612=mellemmåltid,mellemmåltidspris," ")</f>
        <v xml:space="preserve"> </v>
      </c>
      <c r="F612" s="71" t="str">
        <f>IF(Tilmeldingsoversigt!$C$11="x",mellemmåltid," ")</f>
        <v xml:space="preserve"> </v>
      </c>
      <c r="G612" s="72" t="str">
        <f>IF(F612=mellemmåltid,mellemmåltidspris," ")</f>
        <v xml:space="preserve"> </v>
      </c>
      <c r="H612" s="71" t="str">
        <f>IF(Tilmeldingsoversigt!$C$11="x",mellemmåltid," ")</f>
        <v xml:space="preserve"> </v>
      </c>
      <c r="I612" s="72" t="str">
        <f>IF(H612=mellemmåltid,mellemmåltidspris," ")</f>
        <v xml:space="preserve"> </v>
      </c>
      <c r="J612" s="71" t="str">
        <f>IF(Tilmeldingsoversigt!$C$11="x",mellemmåltid," ")</f>
        <v xml:space="preserve"> </v>
      </c>
      <c r="K612" s="72" t="str">
        <f>IF(J612=mellemmåltid,mellemmåltidspris," ")</f>
        <v xml:space="preserve"> </v>
      </c>
      <c r="L612" s="71" t="str">
        <f>IF(Tilmeldingsoversigt!$C$11="x",mellemmåltid," ")</f>
        <v xml:space="preserve"> </v>
      </c>
      <c r="M612" s="72" t="str">
        <f>IF(L612=mellemmåltid,mellemmåltidspris," ")</f>
        <v xml:space="preserve"> </v>
      </c>
      <c r="N612" s="71" t="str">
        <f>IF(Tilmeldingsoversigt!$C$11="x",mellemmåltid," ")</f>
        <v xml:space="preserve"> </v>
      </c>
      <c r="O612" s="73" t="str">
        <f>IF(N612=mellemmåltid,mellemmåltidspris," ")</f>
        <v xml:space="preserve"> </v>
      </c>
      <c r="P612" s="66"/>
    </row>
    <row r="613" spans="2:16" x14ac:dyDescent="0.25">
      <c r="B613" s="74" t="s">
        <v>44</v>
      </c>
      <c r="C613" s="11">
        <f ca="1">SUM(C608:C612)</f>
        <v>99.311475409836063</v>
      </c>
      <c r="D613" s="74"/>
      <c r="E613" s="11">
        <f ca="1">SUM(E608:E612)</f>
        <v>99.311475409836063</v>
      </c>
      <c r="F613" s="74"/>
      <c r="G613" s="11">
        <f ca="1">SUM(G608:G612)</f>
        <v>99.311475409836063</v>
      </c>
      <c r="H613" s="74"/>
      <c r="I613" s="11">
        <f ca="1">SUM(I608:I612)</f>
        <v>99.311475409836063</v>
      </c>
      <c r="J613" s="74"/>
      <c r="K613" s="11">
        <f ca="1">SUM(K608:K612)</f>
        <v>99.311475409836063</v>
      </c>
      <c r="L613" s="74"/>
      <c r="M613" s="11">
        <f ca="1">SUM(M608:M612)</f>
        <v>99.311475409836063</v>
      </c>
      <c r="N613" s="74"/>
      <c r="O613" s="12">
        <f ca="1">SUM(O608:O612)</f>
        <v>99.311475409836063</v>
      </c>
      <c r="P613" s="75">
        <f ca="1">SUM(C613,E613,G613,I613,K613,M613,O613)</f>
        <v>695.18032786885237</v>
      </c>
    </row>
    <row r="614" spans="2:16" x14ac:dyDescent="0.2">
      <c r="B614" s="76"/>
      <c r="C614" s="77"/>
      <c r="D614" s="77"/>
      <c r="E614" s="77"/>
      <c r="F614" s="77"/>
      <c r="G614" s="77"/>
      <c r="H614" s="77"/>
      <c r="I614" s="77"/>
      <c r="J614" s="77"/>
      <c r="K614" s="77"/>
      <c r="L614" s="77"/>
      <c r="M614" s="77"/>
      <c r="N614" s="77"/>
      <c r="O614" s="77"/>
      <c r="P614" s="76"/>
    </row>
    <row r="615" spans="2:16" ht="12.75" x14ac:dyDescent="0.25">
      <c r="B615" s="78">
        <f>N606+1</f>
        <v>11</v>
      </c>
      <c r="C615" s="79"/>
      <c r="D615" s="78">
        <f>B615+1</f>
        <v>12</v>
      </c>
      <c r="E615" s="79"/>
      <c r="F615" s="78">
        <f>D615+1</f>
        <v>13</v>
      </c>
      <c r="G615" s="79"/>
      <c r="H615" s="78">
        <f>F615+1</f>
        <v>14</v>
      </c>
      <c r="I615" s="79"/>
      <c r="J615" s="78">
        <f>H615+1</f>
        <v>15</v>
      </c>
      <c r="K615" s="79"/>
      <c r="L615" s="78">
        <f>J615+1</f>
        <v>16</v>
      </c>
      <c r="M615" s="79"/>
      <c r="N615" s="78">
        <f>L615+1</f>
        <v>17</v>
      </c>
      <c r="O615" s="79"/>
      <c r="P615" s="80"/>
    </row>
    <row r="616" spans="2:16" x14ac:dyDescent="0.25">
      <c r="B616" s="64" t="s">
        <v>42</v>
      </c>
      <c r="C616" s="81" t="s">
        <v>43</v>
      </c>
      <c r="D616" s="64" t="s">
        <v>42</v>
      </c>
      <c r="E616" s="81" t="s">
        <v>43</v>
      </c>
      <c r="F616" s="64" t="s">
        <v>42</v>
      </c>
      <c r="G616" s="81" t="s">
        <v>43</v>
      </c>
      <c r="H616" s="64" t="s">
        <v>42</v>
      </c>
      <c r="I616" s="81" t="s">
        <v>43</v>
      </c>
      <c r="J616" s="64" t="s">
        <v>42</v>
      </c>
      <c r="K616" s="81" t="s">
        <v>43</v>
      </c>
      <c r="L616" s="64" t="s">
        <v>42</v>
      </c>
      <c r="M616" s="81" t="s">
        <v>43</v>
      </c>
      <c r="N616" s="64" t="s">
        <v>42</v>
      </c>
      <c r="O616" s="82" t="s">
        <v>43</v>
      </c>
      <c r="P616" s="66"/>
    </row>
    <row r="617" spans="2:16" x14ac:dyDescent="0.25">
      <c r="B617" s="136" t="str">
        <f>IF(Tilmeldingsoversigt!$C$7="x",Morgenmad," ")</f>
        <v>Morgenmad</v>
      </c>
      <c r="C617" s="67">
        <f ca="1">IF(B617=Morgenmad,Tilmeldingsoversigt!$C$15," ")</f>
        <v>16.754098360655739</v>
      </c>
      <c r="D617" s="136" t="str">
        <f>IF(Tilmeldingsoversigt!$D$7="x",Morgenmad," ")</f>
        <v>Morgenmad</v>
      </c>
      <c r="E617" s="67">
        <f ca="1">IF(D617=Morgenmad,Tilmeldingsoversigt!$C$15," ")</f>
        <v>16.754098360655739</v>
      </c>
      <c r="F617" s="136" t="str">
        <f>IF(Tilmeldingsoversigt!$E$7="x",Morgenmad," ")</f>
        <v>Morgenmad</v>
      </c>
      <c r="G617" s="67">
        <f ca="1">IF(F617=Morgenmad,Tilmeldingsoversigt!$C$15," ")</f>
        <v>16.754098360655739</v>
      </c>
      <c r="H617" s="136" t="str">
        <f>IF(Tilmeldingsoversigt!$F$7="x",Morgenmad," ")</f>
        <v>Morgenmad</v>
      </c>
      <c r="I617" s="67">
        <f ca="1">IF(H617=Morgenmad,Tilmeldingsoversigt!$C$15," ")</f>
        <v>16.754098360655739</v>
      </c>
      <c r="J617" s="136" t="str">
        <f>IF(Tilmeldingsoversigt!$G$7="x",Morgenmad," ")</f>
        <v>Morgenmad</v>
      </c>
      <c r="K617" s="67">
        <f ca="1">IF(J617=Morgenmad,Tilmeldingsoversigt!$C$15," ")</f>
        <v>16.754098360655739</v>
      </c>
      <c r="L617" s="136" t="str">
        <f>IF(Tilmeldingsoversigt!$H$7="x",Morgenmad," ")</f>
        <v>Morgenmad</v>
      </c>
      <c r="M617" s="67">
        <f ca="1">IF(L617=Morgenmad,Tilmeldingsoversigt!$C$15," ")</f>
        <v>16.754098360655739</v>
      </c>
      <c r="N617" s="136" t="str">
        <f>IF(Tilmeldingsoversigt!$I$7="x",Morgenmad," ")</f>
        <v>Morgenmad</v>
      </c>
      <c r="O617" s="83">
        <f ca="1">IF(N617=Morgenmad,Tilmeldingsoversigt!$C$15," ")</f>
        <v>16.754098360655739</v>
      </c>
      <c r="P617" s="66"/>
    </row>
    <row r="618" spans="2:16" x14ac:dyDescent="0.25">
      <c r="B618" s="68" t="str">
        <f>IF(Tilmeldingsoversigt!$C$8="x",hovedret," ")</f>
        <v>Hovedret</v>
      </c>
      <c r="C618" s="69">
        <f ca="1">IF(B618=hovedret,Tilmeldingsoversigt!$C$16," ")</f>
        <v>55.016393442622949</v>
      </c>
      <c r="D618" s="68" t="str">
        <f>IF(Tilmeldingsoversigt!$D$8="x",hovedret," ")</f>
        <v>Hovedret</v>
      </c>
      <c r="E618" s="69">
        <f ca="1">IF(D618=hovedret,Tilmeldingsoversigt!$C$16," ")</f>
        <v>55.016393442622949</v>
      </c>
      <c r="F618" s="68" t="str">
        <f>IF(Tilmeldingsoversigt!$E$8="x",hovedret," ")</f>
        <v>Hovedret</v>
      </c>
      <c r="G618" s="69">
        <f ca="1">IF(F618=hovedret,Tilmeldingsoversigt!$C$16," ")</f>
        <v>55.016393442622949</v>
      </c>
      <c r="H618" s="68" t="str">
        <f>IF(Tilmeldingsoversigt!$F$8="x",hovedret," ")</f>
        <v>Hovedret</v>
      </c>
      <c r="I618" s="69">
        <f ca="1">IF(H618=hovedret,Tilmeldingsoversigt!$C$16," ")</f>
        <v>55.016393442622949</v>
      </c>
      <c r="J618" s="68" t="str">
        <f>IF(Tilmeldingsoversigt!$G$8="x",hovedret," ")</f>
        <v>Hovedret</v>
      </c>
      <c r="K618" s="69">
        <f ca="1">IF(J618=hovedret,Tilmeldingsoversigt!$C$16," ")</f>
        <v>55.016393442622949</v>
      </c>
      <c r="L618" s="68" t="str">
        <f>IF(Tilmeldingsoversigt!$H$8="x",hovedret," ")</f>
        <v>Hovedret</v>
      </c>
      <c r="M618" s="69">
        <f ca="1">IF(L618=hovedret,Tilmeldingsoversigt!$C$16," ")</f>
        <v>55.016393442622949</v>
      </c>
      <c r="N618" s="68" t="str">
        <f>IF(Tilmeldingsoversigt!$I$8="x",hovedret," ")</f>
        <v>Hovedret</v>
      </c>
      <c r="O618" s="70">
        <f ca="1">IF(N618=hovedret,Tilmeldingsoversigt!$C$16," ")</f>
        <v>55.016393442622949</v>
      </c>
      <c r="P618" s="66"/>
    </row>
    <row r="619" spans="2:16" x14ac:dyDescent="0.25">
      <c r="B619" s="68" t="str">
        <f>IF(Tilmeldingsoversigt!$C$9="x",Aftensmad," ")</f>
        <v>Aftensmad</v>
      </c>
      <c r="C619" s="69">
        <f ca="1">IF(B619=Aftensmad,Tilmeldingsoversigt!$C$17," ")</f>
        <v>27.540983606557376</v>
      </c>
      <c r="D619" s="68" t="str">
        <f>IF(Tilmeldingsoversigt!$D$9="x",Aftensmad," ")</f>
        <v>Aftensmad</v>
      </c>
      <c r="E619" s="69">
        <f ca="1">IF(D619=Aftensmad,Tilmeldingsoversigt!$C$17," ")</f>
        <v>27.540983606557376</v>
      </c>
      <c r="F619" s="68" t="str">
        <f>IF(Tilmeldingsoversigt!$E$9="x",Aftensmad," ")</f>
        <v>Aftensmad</v>
      </c>
      <c r="G619" s="69">
        <f ca="1">IF(F619=Aftensmad,Tilmeldingsoversigt!$C$17," ")</f>
        <v>27.540983606557376</v>
      </c>
      <c r="H619" s="68" t="str">
        <f>IF(Tilmeldingsoversigt!$F$9="x",Aftensmad," ")</f>
        <v>Aftensmad</v>
      </c>
      <c r="I619" s="69">
        <f ca="1">IF(H619=Aftensmad,Tilmeldingsoversigt!$C$17," ")</f>
        <v>27.540983606557376</v>
      </c>
      <c r="J619" s="68" t="str">
        <f>IF(Tilmeldingsoversigt!$G$9="x",Aftensmad," ")</f>
        <v>Aftensmad</v>
      </c>
      <c r="K619" s="69">
        <f ca="1">IF(J619=Aftensmad,Tilmeldingsoversigt!$C$17," ")</f>
        <v>27.540983606557376</v>
      </c>
      <c r="L619" s="68" t="str">
        <f>IF(Tilmeldingsoversigt!$H$9="x",Aftensmad," ")</f>
        <v>Aftensmad</v>
      </c>
      <c r="M619" s="69">
        <f ca="1">IF(L619=Aftensmad,Tilmeldingsoversigt!$C$17," ")</f>
        <v>27.540983606557376</v>
      </c>
      <c r="N619" s="68" t="str">
        <f>IF(Tilmeldingsoversigt!$I$9="x",Aftensmad," ")</f>
        <v>Aftensmad</v>
      </c>
      <c r="O619" s="70">
        <f ca="1">IF(N619=Aftensmad,Tilmeldingsoversigt!$C$17," ")</f>
        <v>27.540983606557376</v>
      </c>
      <c r="P619" s="66"/>
    </row>
    <row r="620" spans="2:16" x14ac:dyDescent="0.25">
      <c r="B620" s="68" t="str">
        <f>IF(Tilmeldingsoversigt!$C$10="x",biret," ")</f>
        <v>Biret</v>
      </c>
      <c r="C620" s="69">
        <f>IF(B620=biret,biretpris," ")</f>
        <v>0</v>
      </c>
      <c r="D620" s="68" t="str">
        <f>IF(Tilmeldingsoversigt!$D$10="x",biret," ")</f>
        <v>Biret</v>
      </c>
      <c r="E620" s="69">
        <f>IF(D620=biret,biretpris," ")</f>
        <v>0</v>
      </c>
      <c r="F620" s="68" t="str">
        <f>IF(Tilmeldingsoversigt!$E$10="x",biret," ")</f>
        <v>Biret</v>
      </c>
      <c r="G620" s="69">
        <f>IF(F620=biret,biretpris," ")</f>
        <v>0</v>
      </c>
      <c r="H620" s="68" t="str">
        <f>IF(Tilmeldingsoversigt!$F$10="x",biret," ")</f>
        <v>Biret</v>
      </c>
      <c r="I620" s="69">
        <f>IF(H620=biret,biretpris," ")</f>
        <v>0</v>
      </c>
      <c r="J620" s="68" t="str">
        <f>IF(Tilmeldingsoversigt!$G$10="x",biret," ")</f>
        <v>Biret</v>
      </c>
      <c r="K620" s="69">
        <f>IF(J620=biret,biretpris," ")</f>
        <v>0</v>
      </c>
      <c r="L620" s="68" t="str">
        <f>IF(Tilmeldingsoversigt!$H$10="x",biret," ")</f>
        <v>Biret</v>
      </c>
      <c r="M620" s="69">
        <f>IF(L620=biret,biretpris," ")</f>
        <v>0</v>
      </c>
      <c r="N620" s="68" t="str">
        <f>IF(Tilmeldingsoversigt!$I$10="x",biret," ")</f>
        <v>Biret</v>
      </c>
      <c r="O620" s="70">
        <f>IF(N620=biret,biretpris," ")</f>
        <v>0</v>
      </c>
      <c r="P620" s="66"/>
    </row>
    <row r="621" spans="2:16" x14ac:dyDescent="0.25">
      <c r="B621" s="71" t="str">
        <f>IF(Tilmeldingsoversigt!$C$11="x",mellemmåltid," ")</f>
        <v xml:space="preserve"> </v>
      </c>
      <c r="C621" s="72" t="str">
        <f>IF(B621=mellemmåltid,mellemmåltidspris," ")</f>
        <v xml:space="preserve"> </v>
      </c>
      <c r="D621" s="71" t="str">
        <f>IF(Tilmeldingsoversigt!$C$11="x",mellemmåltid," ")</f>
        <v xml:space="preserve"> </v>
      </c>
      <c r="E621" s="72" t="str">
        <f>IF(D621=mellemmåltid,mellemmåltidspris," ")</f>
        <v xml:space="preserve"> </v>
      </c>
      <c r="F621" s="71" t="str">
        <f>IF(Tilmeldingsoversigt!$C$11="x",mellemmåltid," ")</f>
        <v xml:space="preserve"> </v>
      </c>
      <c r="G621" s="72" t="str">
        <f>IF(F621=mellemmåltid,mellemmåltidspris," ")</f>
        <v xml:space="preserve"> </v>
      </c>
      <c r="H621" s="71" t="str">
        <f>IF(Tilmeldingsoversigt!$C$11="x",mellemmåltid," ")</f>
        <v xml:space="preserve"> </v>
      </c>
      <c r="I621" s="72" t="str">
        <f>IF(H621=mellemmåltid,mellemmåltidspris," ")</f>
        <v xml:space="preserve"> </v>
      </c>
      <c r="J621" s="71" t="str">
        <f>IF(Tilmeldingsoversigt!$C$11="x",mellemmåltid," ")</f>
        <v xml:space="preserve"> </v>
      </c>
      <c r="K621" s="72" t="str">
        <f>IF(J621=mellemmåltid,mellemmåltidspris," ")</f>
        <v xml:space="preserve"> </v>
      </c>
      <c r="L621" s="71" t="str">
        <f>IF(Tilmeldingsoversigt!$C$11="x",mellemmåltid," ")</f>
        <v xml:space="preserve"> </v>
      </c>
      <c r="M621" s="72" t="str">
        <f>IF(L621=mellemmåltid,mellemmåltidspris," ")</f>
        <v xml:space="preserve"> </v>
      </c>
      <c r="N621" s="71" t="str">
        <f>IF(Tilmeldingsoversigt!$C$11="x",mellemmåltid," ")</f>
        <v xml:space="preserve"> </v>
      </c>
      <c r="O621" s="73" t="str">
        <f>IF(N621=mellemmåltid,mellemmåltidspris," ")</f>
        <v xml:space="preserve"> </v>
      </c>
      <c r="P621" s="66"/>
    </row>
    <row r="622" spans="2:16" x14ac:dyDescent="0.25">
      <c r="B622" s="84" t="s">
        <v>44</v>
      </c>
      <c r="C622" s="11">
        <f ca="1">SUM(C617:C621)</f>
        <v>99.311475409836063</v>
      </c>
      <c r="D622" s="74"/>
      <c r="E622" s="11">
        <f ca="1">SUM(E617:E621)</f>
        <v>99.311475409836063</v>
      </c>
      <c r="F622" s="74"/>
      <c r="G622" s="11">
        <f ca="1">SUM(G617:G621)</f>
        <v>99.311475409836063</v>
      </c>
      <c r="H622" s="74"/>
      <c r="I622" s="11">
        <f ca="1">SUM(I617:I621)</f>
        <v>99.311475409836063</v>
      </c>
      <c r="J622" s="74"/>
      <c r="K622" s="11">
        <f ca="1">SUM(K617:K621)</f>
        <v>99.311475409836063</v>
      </c>
      <c r="L622" s="74"/>
      <c r="M622" s="11">
        <f ca="1">SUM(M617:M621)</f>
        <v>99.311475409836063</v>
      </c>
      <c r="N622" s="74"/>
      <c r="O622" s="12">
        <f ca="1">SUM(O617:O621)</f>
        <v>99.311475409836063</v>
      </c>
      <c r="P622" s="75">
        <f ca="1">SUM(C622,E622,G622,I622,K622,M622,O622)</f>
        <v>695.18032786885237</v>
      </c>
    </row>
    <row r="623" spans="2:16" x14ac:dyDescent="0.2">
      <c r="B623" s="76"/>
      <c r="C623" s="77"/>
      <c r="D623" s="77"/>
      <c r="E623" s="77"/>
      <c r="F623" s="77"/>
      <c r="G623" s="77"/>
      <c r="H623" s="77"/>
      <c r="I623" s="77"/>
      <c r="J623" s="77"/>
      <c r="K623" s="77"/>
      <c r="L623" s="77"/>
      <c r="M623" s="77"/>
      <c r="N623" s="77"/>
      <c r="O623" s="77"/>
      <c r="P623" s="76"/>
    </row>
    <row r="624" spans="2:16" ht="12.75" x14ac:dyDescent="0.25">
      <c r="B624" s="78">
        <f>N615+1</f>
        <v>18</v>
      </c>
      <c r="C624" s="79"/>
      <c r="D624" s="78">
        <f>B624+1</f>
        <v>19</v>
      </c>
      <c r="E624" s="79"/>
      <c r="F624" s="78">
        <f>D624+1</f>
        <v>20</v>
      </c>
      <c r="G624" s="79"/>
      <c r="H624" s="78">
        <f>F624+1</f>
        <v>21</v>
      </c>
      <c r="I624" s="79"/>
      <c r="J624" s="78">
        <f>H624+1</f>
        <v>22</v>
      </c>
      <c r="K624" s="79"/>
      <c r="L624" s="78">
        <f>J624+1</f>
        <v>23</v>
      </c>
      <c r="M624" s="79"/>
      <c r="N624" s="78">
        <f>L624+1</f>
        <v>24</v>
      </c>
      <c r="O624" s="79"/>
      <c r="P624" s="80"/>
    </row>
    <row r="625" spans="2:16" x14ac:dyDescent="0.25">
      <c r="B625" s="64" t="s">
        <v>42</v>
      </c>
      <c r="C625" s="81" t="s">
        <v>43</v>
      </c>
      <c r="D625" s="64" t="s">
        <v>42</v>
      </c>
      <c r="E625" s="81" t="s">
        <v>43</v>
      </c>
      <c r="F625" s="64" t="s">
        <v>42</v>
      </c>
      <c r="G625" s="81" t="s">
        <v>43</v>
      </c>
      <c r="H625" s="64" t="s">
        <v>42</v>
      </c>
      <c r="I625" s="81" t="s">
        <v>43</v>
      </c>
      <c r="J625" s="64" t="s">
        <v>42</v>
      </c>
      <c r="K625" s="81" t="s">
        <v>43</v>
      </c>
      <c r="L625" s="64" t="s">
        <v>42</v>
      </c>
      <c r="M625" s="81" t="s">
        <v>43</v>
      </c>
      <c r="N625" s="64" t="s">
        <v>42</v>
      </c>
      <c r="O625" s="82" t="s">
        <v>43</v>
      </c>
      <c r="P625" s="66"/>
    </row>
    <row r="626" spans="2:16" x14ac:dyDescent="0.25">
      <c r="B626" s="136" t="str">
        <f>IF(Tilmeldingsoversigt!$C$7="x",Morgenmad," ")</f>
        <v>Morgenmad</v>
      </c>
      <c r="C626" s="67">
        <f ca="1">IF(B626=Morgenmad,Tilmeldingsoversigt!$C$15," ")</f>
        <v>16.754098360655739</v>
      </c>
      <c r="D626" s="136" t="str">
        <f>IF(Tilmeldingsoversigt!$D$7="x",Morgenmad," ")</f>
        <v>Morgenmad</v>
      </c>
      <c r="E626" s="67">
        <f ca="1">IF(D626=Morgenmad,Tilmeldingsoversigt!$C$15," ")</f>
        <v>16.754098360655739</v>
      </c>
      <c r="F626" s="136" t="str">
        <f>IF(Tilmeldingsoversigt!$E$7="x",Morgenmad," ")</f>
        <v>Morgenmad</v>
      </c>
      <c r="G626" s="67">
        <f ca="1">IF(F626=Morgenmad,Tilmeldingsoversigt!$C$15," ")</f>
        <v>16.754098360655739</v>
      </c>
      <c r="H626" s="136" t="str">
        <f>IF(Tilmeldingsoversigt!$F$7="x",Morgenmad," ")</f>
        <v>Morgenmad</v>
      </c>
      <c r="I626" s="67">
        <f ca="1">IF(H626=Morgenmad,Tilmeldingsoversigt!$C$15," ")</f>
        <v>16.754098360655739</v>
      </c>
      <c r="J626" s="136" t="str">
        <f>IF(Tilmeldingsoversigt!$G$7="x",Morgenmad," ")</f>
        <v>Morgenmad</v>
      </c>
      <c r="K626" s="67">
        <f ca="1">IF(J626=Morgenmad,Tilmeldingsoversigt!$C$15," ")</f>
        <v>16.754098360655739</v>
      </c>
      <c r="L626" s="136" t="str">
        <f>IF(Tilmeldingsoversigt!$H$7="x",Morgenmad," ")</f>
        <v>Morgenmad</v>
      </c>
      <c r="M626" s="67">
        <f ca="1">IF(L626=Morgenmad,Tilmeldingsoversigt!$C$15," ")</f>
        <v>16.754098360655739</v>
      </c>
      <c r="N626" s="136" t="str">
        <f>IF(Tilmeldingsoversigt!$I$7="x",Morgenmad," ")</f>
        <v>Morgenmad</v>
      </c>
      <c r="O626" s="83">
        <f ca="1">IF(N626=Morgenmad,Tilmeldingsoversigt!$C$15," ")</f>
        <v>16.754098360655739</v>
      </c>
      <c r="P626" s="66"/>
    </row>
    <row r="627" spans="2:16" x14ac:dyDescent="0.25">
      <c r="B627" s="68" t="str">
        <f>IF(Tilmeldingsoversigt!$C$8="x",hovedret," ")</f>
        <v>Hovedret</v>
      </c>
      <c r="C627" s="69">
        <f ca="1">IF(B627=hovedret,Tilmeldingsoversigt!$C$16," ")</f>
        <v>55.016393442622949</v>
      </c>
      <c r="D627" s="68" t="str">
        <f>IF(Tilmeldingsoversigt!$D$8="x",hovedret," ")</f>
        <v>Hovedret</v>
      </c>
      <c r="E627" s="69">
        <f ca="1">IF(D627=hovedret,Tilmeldingsoversigt!$C$16," ")</f>
        <v>55.016393442622949</v>
      </c>
      <c r="F627" s="68" t="str">
        <f>IF(Tilmeldingsoversigt!$E$8="x",hovedret," ")</f>
        <v>Hovedret</v>
      </c>
      <c r="G627" s="69">
        <f ca="1">IF(F627=hovedret,Tilmeldingsoversigt!$C$16," ")</f>
        <v>55.016393442622949</v>
      </c>
      <c r="H627" s="68" t="str">
        <f>IF(Tilmeldingsoversigt!$F$8="x",hovedret," ")</f>
        <v>Hovedret</v>
      </c>
      <c r="I627" s="69">
        <f ca="1">IF(H627=hovedret,Tilmeldingsoversigt!$C$16," ")</f>
        <v>55.016393442622949</v>
      </c>
      <c r="J627" s="68" t="str">
        <f>IF(Tilmeldingsoversigt!$G$8="x",hovedret," ")</f>
        <v>Hovedret</v>
      </c>
      <c r="K627" s="69">
        <f ca="1">IF(J627=hovedret,Tilmeldingsoversigt!$C$16," ")</f>
        <v>55.016393442622949</v>
      </c>
      <c r="L627" s="68" t="str">
        <f>IF(Tilmeldingsoversigt!$H$8="x",hovedret," ")</f>
        <v>Hovedret</v>
      </c>
      <c r="M627" s="69">
        <f ca="1">IF(L627=hovedret,Tilmeldingsoversigt!$C$16," ")</f>
        <v>55.016393442622949</v>
      </c>
      <c r="N627" s="68" t="str">
        <f>IF(Tilmeldingsoversigt!$I$8="x",hovedret," ")</f>
        <v>Hovedret</v>
      </c>
      <c r="O627" s="70">
        <f ca="1">IF(N627=hovedret,Tilmeldingsoversigt!$C$16," ")</f>
        <v>55.016393442622949</v>
      </c>
      <c r="P627" s="66"/>
    </row>
    <row r="628" spans="2:16" x14ac:dyDescent="0.25">
      <c r="B628" s="68" t="str">
        <f>IF(Tilmeldingsoversigt!$C$9="x",Aftensmad," ")</f>
        <v>Aftensmad</v>
      </c>
      <c r="C628" s="69">
        <f ca="1">IF(B628=Aftensmad,Tilmeldingsoversigt!$C$17," ")</f>
        <v>27.540983606557376</v>
      </c>
      <c r="D628" s="68" t="str">
        <f>IF(Tilmeldingsoversigt!$D$9="x",Aftensmad," ")</f>
        <v>Aftensmad</v>
      </c>
      <c r="E628" s="69">
        <f ca="1">IF(D628=Aftensmad,Tilmeldingsoversigt!$C$17," ")</f>
        <v>27.540983606557376</v>
      </c>
      <c r="F628" s="68" t="str">
        <f>IF(Tilmeldingsoversigt!$E$9="x",Aftensmad," ")</f>
        <v>Aftensmad</v>
      </c>
      <c r="G628" s="69">
        <f ca="1">IF(F628=Aftensmad,Tilmeldingsoversigt!$C$17," ")</f>
        <v>27.540983606557376</v>
      </c>
      <c r="H628" s="68" t="str">
        <f>IF(Tilmeldingsoversigt!$F$9="x",Aftensmad," ")</f>
        <v>Aftensmad</v>
      </c>
      <c r="I628" s="69">
        <f ca="1">IF(H628=Aftensmad,Tilmeldingsoversigt!$C$17," ")</f>
        <v>27.540983606557376</v>
      </c>
      <c r="J628" s="68" t="str">
        <f>IF(Tilmeldingsoversigt!$G$9="x",Aftensmad," ")</f>
        <v>Aftensmad</v>
      </c>
      <c r="K628" s="69">
        <f ca="1">IF(J628=Aftensmad,Tilmeldingsoversigt!$C$17," ")</f>
        <v>27.540983606557376</v>
      </c>
      <c r="L628" s="68" t="str">
        <f>IF(Tilmeldingsoversigt!$H$9="x",Aftensmad," ")</f>
        <v>Aftensmad</v>
      </c>
      <c r="M628" s="69">
        <f ca="1">IF(L628=Aftensmad,Tilmeldingsoversigt!$C$17," ")</f>
        <v>27.540983606557376</v>
      </c>
      <c r="N628" s="68" t="str">
        <f>IF(Tilmeldingsoversigt!$I$9="x",Aftensmad," ")</f>
        <v>Aftensmad</v>
      </c>
      <c r="O628" s="70">
        <f ca="1">IF(N628=Aftensmad,Tilmeldingsoversigt!$C$17," ")</f>
        <v>27.540983606557376</v>
      </c>
      <c r="P628" s="66"/>
    </row>
    <row r="629" spans="2:16" x14ac:dyDescent="0.25">
      <c r="B629" s="68" t="str">
        <f>IF(Tilmeldingsoversigt!$C$10="x",biret," ")</f>
        <v>Biret</v>
      </c>
      <c r="C629" s="69">
        <f>IF(B629=biret,biretpris," ")</f>
        <v>0</v>
      </c>
      <c r="D629" s="68" t="str">
        <f>IF(Tilmeldingsoversigt!$D$10="x",biret," ")</f>
        <v>Biret</v>
      </c>
      <c r="E629" s="69">
        <f>IF(D629=biret,biretpris," ")</f>
        <v>0</v>
      </c>
      <c r="F629" s="68" t="str">
        <f>IF(Tilmeldingsoversigt!$E$10="x",biret," ")</f>
        <v>Biret</v>
      </c>
      <c r="G629" s="69">
        <f>IF(F629=biret,biretpris," ")</f>
        <v>0</v>
      </c>
      <c r="H629" s="68" t="str">
        <f>IF(Tilmeldingsoversigt!$F$10="x",biret," ")</f>
        <v>Biret</v>
      </c>
      <c r="I629" s="69">
        <f>IF(H629=biret,biretpris," ")</f>
        <v>0</v>
      </c>
      <c r="J629" s="68" t="str">
        <f>IF(Tilmeldingsoversigt!$G$10="x",biret," ")</f>
        <v>Biret</v>
      </c>
      <c r="K629" s="69">
        <f>IF(J629=biret,biretpris," ")</f>
        <v>0</v>
      </c>
      <c r="L629" s="68" t="str">
        <f>IF(Tilmeldingsoversigt!$H$10="x",biret," ")</f>
        <v>Biret</v>
      </c>
      <c r="M629" s="69">
        <f>IF(L629=biret,biretpris," ")</f>
        <v>0</v>
      </c>
      <c r="N629" s="68" t="str">
        <f>IF(Tilmeldingsoversigt!$I$10="x",biret," ")</f>
        <v>Biret</v>
      </c>
      <c r="O629" s="70">
        <f>IF(N629=biret,biretpris," ")</f>
        <v>0</v>
      </c>
      <c r="P629" s="66"/>
    </row>
    <row r="630" spans="2:16" x14ac:dyDescent="0.25">
      <c r="B630" s="71" t="str">
        <f>IF(Tilmeldingsoversigt!$C$11="x",mellemmåltid," ")</f>
        <v xml:space="preserve"> </v>
      </c>
      <c r="C630" s="72" t="str">
        <f>IF(B630=mellemmåltid,mellemmåltidspris," ")</f>
        <v xml:space="preserve"> </v>
      </c>
      <c r="D630" s="71" t="str">
        <f>IF(Tilmeldingsoversigt!$C$11="x",mellemmåltid," ")</f>
        <v xml:space="preserve"> </v>
      </c>
      <c r="E630" s="72" t="str">
        <f>IF(D630=mellemmåltid,mellemmåltidspris," ")</f>
        <v xml:space="preserve"> </v>
      </c>
      <c r="F630" s="71" t="str">
        <f>IF(Tilmeldingsoversigt!$C$11="x",mellemmåltid," ")</f>
        <v xml:space="preserve"> </v>
      </c>
      <c r="G630" s="72" t="str">
        <f>IF(F630=mellemmåltid,mellemmåltidspris," ")</f>
        <v xml:space="preserve"> </v>
      </c>
      <c r="H630" s="71" t="str">
        <f>IF(Tilmeldingsoversigt!$C$11="x",mellemmåltid," ")</f>
        <v xml:space="preserve"> </v>
      </c>
      <c r="I630" s="72" t="str">
        <f>IF(H630=mellemmåltid,mellemmåltidspris," ")</f>
        <v xml:space="preserve"> </v>
      </c>
      <c r="J630" s="71" t="str">
        <f>IF(Tilmeldingsoversigt!$C$11="x",mellemmåltid," ")</f>
        <v xml:space="preserve"> </v>
      </c>
      <c r="K630" s="72" t="str">
        <f>IF(J630=mellemmåltid,mellemmåltidspris," ")</f>
        <v xml:space="preserve"> </v>
      </c>
      <c r="L630" s="71" t="str">
        <f>IF(Tilmeldingsoversigt!$C$11="x",mellemmåltid," ")</f>
        <v xml:space="preserve"> </v>
      </c>
      <c r="M630" s="72" t="str">
        <f>IF(L630=mellemmåltid,mellemmåltidspris," ")</f>
        <v xml:space="preserve"> </v>
      </c>
      <c r="N630" s="71" t="str">
        <f>IF(Tilmeldingsoversigt!$C$11="x",mellemmåltid," ")</f>
        <v xml:space="preserve"> </v>
      </c>
      <c r="O630" s="73" t="str">
        <f>IF(N630=mellemmåltid,mellemmåltidspris," ")</f>
        <v xml:space="preserve"> </v>
      </c>
      <c r="P630" s="66"/>
    </row>
    <row r="631" spans="2:16" x14ac:dyDescent="0.25">
      <c r="B631" s="74" t="s">
        <v>44</v>
      </c>
      <c r="C631" s="11">
        <f ca="1">SUM(C626:C630)</f>
        <v>99.311475409836063</v>
      </c>
      <c r="D631" s="74"/>
      <c r="E631" s="11">
        <f ca="1">SUM(E626:E630)</f>
        <v>99.311475409836063</v>
      </c>
      <c r="F631" s="74"/>
      <c r="G631" s="11">
        <f ca="1">SUM(G626:G630)</f>
        <v>99.311475409836063</v>
      </c>
      <c r="H631" s="74"/>
      <c r="I631" s="11">
        <f ca="1">SUM(I626:I630)</f>
        <v>99.311475409836063</v>
      </c>
      <c r="J631" s="74"/>
      <c r="K631" s="11">
        <f ca="1">SUM(K626:K630)</f>
        <v>99.311475409836063</v>
      </c>
      <c r="L631" s="74"/>
      <c r="M631" s="11">
        <f ca="1">SUM(M626:M630)</f>
        <v>99.311475409836063</v>
      </c>
      <c r="N631" s="74"/>
      <c r="O631" s="12">
        <f ca="1">SUM(O626:O630)</f>
        <v>99.311475409836063</v>
      </c>
      <c r="P631" s="75">
        <f ca="1">SUM(C631,E631,G631,I631,K631,M631,O631)</f>
        <v>695.18032786885237</v>
      </c>
    </row>
    <row r="632" spans="2:16" x14ac:dyDescent="0.2">
      <c r="B632" s="76"/>
      <c r="C632" s="77"/>
      <c r="D632" s="77"/>
      <c r="E632" s="77"/>
      <c r="F632" s="77"/>
      <c r="G632" s="77"/>
      <c r="H632" s="77"/>
      <c r="I632" s="77"/>
      <c r="J632" s="77"/>
      <c r="K632" s="77"/>
      <c r="L632" s="77"/>
      <c r="M632" s="77"/>
      <c r="N632" s="77"/>
      <c r="O632" s="77"/>
      <c r="P632" s="76"/>
    </row>
    <row r="633" spans="2:16" ht="12.75" x14ac:dyDescent="0.25">
      <c r="B633" s="78">
        <f>DAY(IF(DAY(NovSøn1)=1,NovSøn1+22,NovSøn1+29))</f>
        <v>25</v>
      </c>
      <c r="C633" s="79"/>
      <c r="D633" s="78">
        <f>DAY(IF(DAY(NovSøn1)=1,NovSøn1+23,NovSøn1+30))</f>
        <v>26</v>
      </c>
      <c r="E633" s="79"/>
      <c r="F633" s="78">
        <f>DAY(IF(DAY(NovSøn1)=1,NovSøn1+24,NovSøn1+31))</f>
        <v>27</v>
      </c>
      <c r="G633" s="79"/>
      <c r="H633" s="78">
        <f>DAY(IF(DAY(NovSøn1)=1,NovSøn1+25,NovSøn1+32))</f>
        <v>28</v>
      </c>
      <c r="I633" s="79"/>
      <c r="J633" s="78">
        <f>DAY(IF(DAY(NovSøn1)=1,NovSøn1+26,NovSøn1+33))</f>
        <v>29</v>
      </c>
      <c r="K633" s="79"/>
      <c r="L633" s="78">
        <f>DAY(IF(DAY(NovSøn1)=1,NovSøn1+27,NovSøn1+34))</f>
        <v>30</v>
      </c>
      <c r="M633" s="79"/>
      <c r="N633" s="78">
        <f>DAY(IF(DAY(NovSøn1)=1,NovSøn1+28,NovSøn1+35))</f>
        <v>1</v>
      </c>
      <c r="O633" s="79"/>
      <c r="P633" s="85"/>
    </row>
    <row r="634" spans="2:16" x14ac:dyDescent="0.25">
      <c r="B634" s="64" t="s">
        <v>42</v>
      </c>
      <c r="C634" s="81" t="s">
        <v>43</v>
      </c>
      <c r="D634" s="64" t="s">
        <v>42</v>
      </c>
      <c r="E634" s="81" t="s">
        <v>43</v>
      </c>
      <c r="F634" s="64" t="s">
        <v>42</v>
      </c>
      <c r="G634" s="81" t="s">
        <v>43</v>
      </c>
      <c r="H634" s="64" t="s">
        <v>42</v>
      </c>
      <c r="I634" s="81" t="s">
        <v>43</v>
      </c>
      <c r="J634" s="64" t="s">
        <v>42</v>
      </c>
      <c r="K634" s="81" t="s">
        <v>43</v>
      </c>
      <c r="L634" s="64" t="s">
        <v>42</v>
      </c>
      <c r="M634" s="81" t="s">
        <v>43</v>
      </c>
      <c r="N634" s="64" t="s">
        <v>42</v>
      </c>
      <c r="O634" s="82" t="s">
        <v>43</v>
      </c>
      <c r="P634" s="66"/>
    </row>
    <row r="635" spans="2:16" x14ac:dyDescent="0.25">
      <c r="B635" s="136" t="str">
        <f>IF(Tilmeldingsoversigt!$C$7="x",Morgenmad," ")</f>
        <v>Morgenmad</v>
      </c>
      <c r="C635" s="67">
        <f ca="1">IF(B635=Morgenmad,Tilmeldingsoversigt!$C$15," ")</f>
        <v>16.754098360655739</v>
      </c>
      <c r="D635" s="136" t="str">
        <f>IF(Tilmeldingsoversigt!$D$7="x",Morgenmad," ")</f>
        <v>Morgenmad</v>
      </c>
      <c r="E635" s="67">
        <f ca="1">IF(D635=Morgenmad,Tilmeldingsoversigt!$C$15," ")</f>
        <v>16.754098360655739</v>
      </c>
      <c r="F635" s="136" t="str">
        <f>IF(Tilmeldingsoversigt!$E$7="x",Morgenmad," ")</f>
        <v>Morgenmad</v>
      </c>
      <c r="G635" s="67">
        <f ca="1">IF(F635=Morgenmad,Tilmeldingsoversigt!$C$15," ")</f>
        <v>16.754098360655739</v>
      </c>
      <c r="H635" s="136"/>
      <c r="I635" s="67"/>
      <c r="J635" s="136"/>
      <c r="K635" s="67"/>
      <c r="L635" s="136"/>
      <c r="M635" s="67"/>
      <c r="N635" s="139"/>
      <c r="O635" s="86"/>
      <c r="P635" s="66"/>
    </row>
    <row r="636" spans="2:16" x14ac:dyDescent="0.25">
      <c r="B636" s="68" t="str">
        <f>IF(Tilmeldingsoversigt!$C$8="x",hovedret," ")</f>
        <v>Hovedret</v>
      </c>
      <c r="C636" s="69">
        <f ca="1">IF(B636=hovedret,Tilmeldingsoversigt!$C$16," ")</f>
        <v>55.016393442622949</v>
      </c>
      <c r="D636" s="68" t="str">
        <f>IF(Tilmeldingsoversigt!$D$8="x",hovedret," ")</f>
        <v>Hovedret</v>
      </c>
      <c r="E636" s="69">
        <f ca="1">IF(D636=hovedret,Tilmeldingsoversigt!$C$16," ")</f>
        <v>55.016393442622949</v>
      </c>
      <c r="F636" s="68" t="str">
        <f>IF(Tilmeldingsoversigt!$E$8="x",hovedret," ")</f>
        <v>Hovedret</v>
      </c>
      <c r="G636" s="69">
        <f ca="1">IF(F636=hovedret,Tilmeldingsoversigt!$C$16," ")</f>
        <v>55.016393442622949</v>
      </c>
      <c r="H636" s="68"/>
      <c r="I636" s="69"/>
      <c r="J636" s="68"/>
      <c r="K636" s="69"/>
      <c r="L636" s="68"/>
      <c r="M636" s="69"/>
      <c r="N636" s="87"/>
      <c r="O636" s="88"/>
      <c r="P636" s="66"/>
    </row>
    <row r="637" spans="2:16" x14ac:dyDescent="0.25">
      <c r="B637" s="68" t="str">
        <f>IF(Tilmeldingsoversigt!$C$9="x",Aftensmad," ")</f>
        <v>Aftensmad</v>
      </c>
      <c r="C637" s="69">
        <f ca="1">IF(B637=Aftensmad,Tilmeldingsoversigt!$C$17," ")</f>
        <v>27.540983606557376</v>
      </c>
      <c r="D637" s="68" t="str">
        <f>IF(Tilmeldingsoversigt!$D$9="x",Aftensmad," ")</f>
        <v>Aftensmad</v>
      </c>
      <c r="E637" s="69">
        <f ca="1">IF(D637=Aftensmad,Tilmeldingsoversigt!$C$17," ")</f>
        <v>27.540983606557376</v>
      </c>
      <c r="F637" s="68" t="str">
        <f>IF(Tilmeldingsoversigt!$E$9="x",Aftensmad," ")</f>
        <v>Aftensmad</v>
      </c>
      <c r="G637" s="69">
        <f ca="1">IF(F637=Aftensmad,Tilmeldingsoversigt!$C$17," ")</f>
        <v>27.540983606557376</v>
      </c>
      <c r="H637" s="68"/>
      <c r="I637" s="69"/>
      <c r="J637" s="68"/>
      <c r="K637" s="69"/>
      <c r="L637" s="68"/>
      <c r="M637" s="69"/>
      <c r="N637" s="87"/>
      <c r="O637" s="88"/>
      <c r="P637" s="66"/>
    </row>
    <row r="638" spans="2:16" x14ac:dyDescent="0.25">
      <c r="B638" s="68" t="str">
        <f>IF(Tilmeldingsoversigt!$C$10="x",biret," ")</f>
        <v>Biret</v>
      </c>
      <c r="C638" s="69">
        <f>IF(B638=biret,biretpris," ")</f>
        <v>0</v>
      </c>
      <c r="D638" s="68" t="str">
        <f>IF(Tilmeldingsoversigt!$D$10="x",biret," ")</f>
        <v>Biret</v>
      </c>
      <c r="E638" s="69">
        <f>IF(D638=biret,biretpris," ")</f>
        <v>0</v>
      </c>
      <c r="F638" s="68" t="str">
        <f>IF(Tilmeldingsoversigt!$E$10="x",biret," ")</f>
        <v>Biret</v>
      </c>
      <c r="G638" s="69">
        <f>IF(F638=biret,biretpris," ")</f>
        <v>0</v>
      </c>
      <c r="H638" s="68"/>
      <c r="I638" s="69"/>
      <c r="J638" s="68"/>
      <c r="K638" s="69"/>
      <c r="L638" s="68"/>
      <c r="M638" s="69"/>
      <c r="N638" s="68"/>
      <c r="O638" s="70"/>
      <c r="P638" s="66"/>
    </row>
    <row r="639" spans="2:16" x14ac:dyDescent="0.25">
      <c r="B639" s="71" t="str">
        <f>IF(Tilmeldingsoversigt!$C$11="x",mellemmåltid," ")</f>
        <v xml:space="preserve"> </v>
      </c>
      <c r="C639" s="72" t="str">
        <f>IF(B639=mellemmåltid,mellemmåltidspris," ")</f>
        <v xml:space="preserve"> </v>
      </c>
      <c r="D639" s="71" t="str">
        <f>IF(Tilmeldingsoversigt!$C$11="x",mellemmåltid," ")</f>
        <v xml:space="preserve"> </v>
      </c>
      <c r="E639" s="72" t="str">
        <f>IF(D639=mellemmåltid,mellemmåltidspris," ")</f>
        <v xml:space="preserve"> </v>
      </c>
      <c r="F639" s="71" t="str">
        <f>IF(Tilmeldingsoversigt!$C$11="x",mellemmåltid," ")</f>
        <v xml:space="preserve"> </v>
      </c>
      <c r="G639" s="72" t="str">
        <f>IF(F639=mellemmåltid,mellemmåltidspris," ")</f>
        <v xml:space="preserve"> </v>
      </c>
      <c r="H639" s="71"/>
      <c r="I639" s="72"/>
      <c r="J639" s="71"/>
      <c r="K639" s="72"/>
      <c r="L639" s="71"/>
      <c r="M639" s="72"/>
      <c r="N639" s="71"/>
      <c r="O639" s="73"/>
      <c r="P639" s="66"/>
    </row>
    <row r="640" spans="2:16" x14ac:dyDescent="0.25">
      <c r="B640" s="74" t="s">
        <v>44</v>
      </c>
      <c r="C640" s="11">
        <f ca="1">SUM(C635:C639)</f>
        <v>99.311475409836063</v>
      </c>
      <c r="D640" s="74"/>
      <c r="E640" s="11">
        <f ca="1">SUM(E635:E639)</f>
        <v>99.311475409836063</v>
      </c>
      <c r="F640" s="74"/>
      <c r="G640" s="11">
        <f ca="1">SUM(G635:G639)</f>
        <v>99.311475409836063</v>
      </c>
      <c r="H640" s="74"/>
      <c r="I640" s="11">
        <f>SUM(I635:I639)</f>
        <v>0</v>
      </c>
      <c r="J640" s="74"/>
      <c r="K640" s="11">
        <f>SUM(K635:K639)</f>
        <v>0</v>
      </c>
      <c r="L640" s="74"/>
      <c r="M640" s="11">
        <f>SUM(M635:M639)</f>
        <v>0</v>
      </c>
      <c r="N640" s="74"/>
      <c r="O640" s="12">
        <f>SUM(O635:O639)</f>
        <v>0</v>
      </c>
      <c r="P640" s="75">
        <f ca="1">SUMIF(B633:N633,"&gt;="&amp;15,C640:O640)</f>
        <v>297.93442622950818</v>
      </c>
    </row>
    <row r="641" spans="2:16" x14ac:dyDescent="0.2">
      <c r="B641" s="76"/>
      <c r="C641" s="77"/>
      <c r="D641" s="77"/>
      <c r="E641" s="77"/>
      <c r="F641" s="77"/>
      <c r="G641" s="77"/>
      <c r="H641" s="77"/>
      <c r="I641" s="77"/>
      <c r="J641" s="77"/>
      <c r="K641" s="77"/>
      <c r="L641" s="77"/>
      <c r="M641" s="77"/>
      <c r="N641" s="77"/>
      <c r="O641" s="77"/>
      <c r="P641" s="76"/>
    </row>
    <row r="642" spans="2:16" ht="12.75" x14ac:dyDescent="0.25">
      <c r="B642" s="78">
        <f>DAY(IF(DAY(NovSøn1)=1,NovSøn1+29,NovSøn1+36))</f>
        <v>2</v>
      </c>
      <c r="C642" s="91"/>
      <c r="D642" s="78">
        <f>DAY(IF(DAY(NovSøn1)=1,NovSøn1+30,NovSøn1+37))</f>
        <v>3</v>
      </c>
      <c r="E642" s="79"/>
      <c r="F642" s="92">
        <f>DAY(IF(DAY(NovSøn1)=1,NovSøn1+31,NovSøn1+38))</f>
        <v>4</v>
      </c>
      <c r="G642" s="79"/>
      <c r="H642" s="78">
        <f>DAY(IF(DAY(NovSøn1)=1,NovSøn1+32,NovSøn1+39))</f>
        <v>5</v>
      </c>
      <c r="I642" s="79"/>
      <c r="J642" s="78">
        <f>DAY(IF(DAY(NovSøn1)=1,NovSøn1+33,NovSøn1+40))</f>
        <v>6</v>
      </c>
      <c r="K642" s="79"/>
      <c r="L642" s="78">
        <f>DAY(IF(DAY(NovSøn1)=1,NovSøn1+34,NovSøn1+41))</f>
        <v>7</v>
      </c>
      <c r="M642" s="79"/>
      <c r="N642" s="78">
        <f>DAY(IF(DAY(NovSøn1)=1,NovSøn1+35,NovSøn1+42))</f>
        <v>8</v>
      </c>
      <c r="O642" s="79"/>
      <c r="P642" s="85"/>
    </row>
    <row r="643" spans="2:16" x14ac:dyDescent="0.25">
      <c r="B643" s="64" t="s">
        <v>42</v>
      </c>
      <c r="C643" s="81" t="s">
        <v>43</v>
      </c>
      <c r="D643" s="64" t="s">
        <v>42</v>
      </c>
      <c r="E643" s="81" t="s">
        <v>43</v>
      </c>
      <c r="F643" s="64" t="s">
        <v>42</v>
      </c>
      <c r="G643" s="81" t="s">
        <v>43</v>
      </c>
      <c r="H643" s="64" t="s">
        <v>42</v>
      </c>
      <c r="I643" s="81" t="s">
        <v>43</v>
      </c>
      <c r="J643" s="64" t="s">
        <v>42</v>
      </c>
      <c r="K643" s="81" t="s">
        <v>43</v>
      </c>
      <c r="L643" s="64" t="s">
        <v>42</v>
      </c>
      <c r="M643" s="81" t="s">
        <v>43</v>
      </c>
      <c r="N643" s="64" t="s">
        <v>42</v>
      </c>
      <c r="O643" s="82" t="s">
        <v>43</v>
      </c>
      <c r="P643" s="66"/>
    </row>
    <row r="644" spans="2:16" x14ac:dyDescent="0.25">
      <c r="B644" s="136"/>
      <c r="C644" s="67"/>
      <c r="D644" s="136"/>
      <c r="E644" s="67"/>
      <c r="F644" s="136"/>
      <c r="G644" s="67"/>
      <c r="H644" s="136"/>
      <c r="I644" s="67"/>
      <c r="J644" s="136"/>
      <c r="K644" s="67"/>
      <c r="L644" s="136"/>
      <c r="M644" s="67"/>
      <c r="N644" s="136"/>
      <c r="O644" s="83"/>
      <c r="P644" s="66"/>
    </row>
    <row r="645" spans="2:16" x14ac:dyDescent="0.25">
      <c r="B645" s="68"/>
      <c r="C645" s="69"/>
      <c r="D645" s="68"/>
      <c r="E645" s="69"/>
      <c r="F645" s="68"/>
      <c r="G645" s="69"/>
      <c r="H645" s="68"/>
      <c r="I645" s="69"/>
      <c r="J645" s="68"/>
      <c r="K645" s="69"/>
      <c r="L645" s="68"/>
      <c r="M645" s="69"/>
      <c r="N645" s="68"/>
      <c r="O645" s="70"/>
      <c r="P645" s="66"/>
    </row>
    <row r="646" spans="2:16" x14ac:dyDescent="0.25">
      <c r="B646" s="68"/>
      <c r="C646" s="69"/>
      <c r="D646" s="68"/>
      <c r="E646" s="69"/>
      <c r="F646" s="68"/>
      <c r="G646" s="69"/>
      <c r="H646" s="68"/>
      <c r="I646" s="69"/>
      <c r="J646" s="68"/>
      <c r="K646" s="69"/>
      <c r="L646" s="68"/>
      <c r="M646" s="69"/>
      <c r="N646" s="68"/>
      <c r="O646" s="70"/>
      <c r="P646" s="66"/>
    </row>
    <row r="647" spans="2:16" x14ac:dyDescent="0.25">
      <c r="B647" s="68"/>
      <c r="C647" s="69"/>
      <c r="D647" s="68"/>
      <c r="E647" s="69"/>
      <c r="F647" s="68"/>
      <c r="G647" s="69"/>
      <c r="H647" s="68"/>
      <c r="I647" s="69"/>
      <c r="J647" s="68"/>
      <c r="K647" s="69"/>
      <c r="L647" s="68"/>
      <c r="M647" s="69"/>
      <c r="N647" s="68"/>
      <c r="O647" s="70"/>
      <c r="P647" s="66"/>
    </row>
    <row r="648" spans="2:16" x14ac:dyDescent="0.25">
      <c r="B648" s="71"/>
      <c r="C648" s="72"/>
      <c r="D648" s="71"/>
      <c r="E648" s="72"/>
      <c r="F648" s="71"/>
      <c r="G648" s="72"/>
      <c r="H648" s="71"/>
      <c r="I648" s="72"/>
      <c r="J648" s="71"/>
      <c r="K648" s="72"/>
      <c r="L648" s="71"/>
      <c r="M648" s="72"/>
      <c r="N648" s="71"/>
      <c r="O648" s="73"/>
      <c r="P648" s="66"/>
    </row>
    <row r="649" spans="2:16" x14ac:dyDescent="0.25">
      <c r="B649" s="74" t="s">
        <v>44</v>
      </c>
      <c r="C649" s="11">
        <f>SUM(C644:C648)</f>
        <v>0</v>
      </c>
      <c r="D649" s="74"/>
      <c r="E649" s="11">
        <f>SUM(E644:E648)</f>
        <v>0</v>
      </c>
      <c r="F649" s="74"/>
      <c r="G649" s="11">
        <f>SUM(G644:G648)</f>
        <v>0</v>
      </c>
      <c r="H649" s="74"/>
      <c r="I649" s="11">
        <f>SUM(I644:I648)</f>
        <v>0</v>
      </c>
      <c r="J649" s="74"/>
      <c r="K649" s="11">
        <f>SUM(K644:K648)</f>
        <v>0</v>
      </c>
      <c r="L649" s="74"/>
      <c r="M649" s="11">
        <f>SUM(M644:M648)</f>
        <v>0</v>
      </c>
      <c r="N649" s="74"/>
      <c r="O649" s="12">
        <f>SUM(O644:O648)</f>
        <v>0</v>
      </c>
      <c r="P649" s="75">
        <f>SUMIF(B642:N642,"&gt;="&amp;15,C649:O649)</f>
        <v>0</v>
      </c>
    </row>
    <row r="650" spans="2:16" ht="17.25" customHeight="1" x14ac:dyDescent="0.2"/>
    <row r="651" spans="2:16" ht="15" x14ac:dyDescent="0.25">
      <c r="B651" s="246" t="s">
        <v>55</v>
      </c>
      <c r="C651" s="246"/>
      <c r="D651" s="246"/>
      <c r="E651" s="246"/>
      <c r="F651" s="51" t="s">
        <v>82</v>
      </c>
      <c r="G651" s="51"/>
      <c r="H651" s="51"/>
      <c r="I651" s="51"/>
      <c r="J651" s="51"/>
      <c r="K651" s="51"/>
      <c r="L651" s="247" t="s">
        <v>83</v>
      </c>
      <c r="M651" s="247"/>
      <c r="N651" s="247" t="s">
        <v>85</v>
      </c>
      <c r="O651" s="247"/>
      <c r="P651" s="49"/>
    </row>
    <row r="652" spans="2:16" ht="25.5" customHeight="1" x14ac:dyDescent="0.25">
      <c r="B652" s="246"/>
      <c r="C652" s="246"/>
      <c r="D652" s="246"/>
      <c r="E652" s="246"/>
      <c r="F652" s="97" t="str">
        <f>Morgenmad</f>
        <v>Morgenmad</v>
      </c>
      <c r="G652" s="97">
        <f ca="1">IF(december_sum=0,0,(COUNTIF($B$658:$O$707,F652)-'Tilmeldte måltider'!G662))</f>
        <v>0</v>
      </c>
      <c r="H652" s="97" t="str">
        <f>hovedret</f>
        <v>Hovedret</v>
      </c>
      <c r="I652" s="97">
        <f ca="1">IF(december_sum=0,0,(COUNTIF(B657:O706,hovedret)-'Tilmeldte måltider'!I662))</f>
        <v>0</v>
      </c>
      <c r="J652" s="97" t="str">
        <f>Aftensmad</f>
        <v>Aftensmad</v>
      </c>
      <c r="K652" s="97">
        <f ca="1">IF(december_sum=0,0,(COUNTIF(B657:O706,Aftensmad)-'Tilmeldte måltider'!K662))</f>
        <v>0</v>
      </c>
      <c r="L652" s="268" t="e">
        <f ca="1">(G652*Morgenpris)+(I652*Frokostpris)+(K652*Aftenpris)+(G653*biretpris)+(I653*mellemmåltidspris)+(M653*gæstehpris)+(O653*gæstebpris)</f>
        <v>#VALUE!</v>
      </c>
      <c r="M652" s="269"/>
      <c r="N652" s="268" t="e">
        <f ca="1">$L$357+$L$416+$L$475+$L$534+$L$593+$L$652</f>
        <v>#VALUE!</v>
      </c>
      <c r="O652" s="271"/>
      <c r="P652" s="49"/>
    </row>
    <row r="653" spans="2:16" ht="25.5" customHeight="1" x14ac:dyDescent="0.45">
      <c r="B653" s="121"/>
      <c r="C653" s="121"/>
      <c r="D653" s="121"/>
      <c r="E653" s="121"/>
      <c r="F653" s="98" t="str">
        <f>biret</f>
        <v>Biret</v>
      </c>
      <c r="G653" s="97">
        <f ca="1">IF(december_sum=0,0,(COUNTIF($B$658:$O$707,F653)-'Tilmeldte måltider'!G663))</f>
        <v>0</v>
      </c>
      <c r="H653" s="98" t="str">
        <f>mellemmåltid</f>
        <v>Mellemmåltid</v>
      </c>
      <c r="I653" s="97">
        <f ca="1">IF(december_sum=0,0,(COUNTIF($B$658:$O$707,H653)-'Tilmeldte måltider'!I663))</f>
        <v>0</v>
      </c>
      <c r="J653" s="140" t="s">
        <v>105</v>
      </c>
      <c r="K653" s="140"/>
      <c r="L653" s="141" t="s">
        <v>25</v>
      </c>
      <c r="M653" s="100"/>
      <c r="N653" s="141" t="s">
        <v>15</v>
      </c>
      <c r="O653" s="100"/>
      <c r="P653" s="49"/>
    </row>
    <row r="654" spans="2:16" ht="9" customHeight="1" x14ac:dyDescent="0.2">
      <c r="B654" s="260">
        <v>1</v>
      </c>
      <c r="C654" s="260"/>
      <c r="D654" s="260">
        <v>2</v>
      </c>
      <c r="E654" s="260"/>
      <c r="F654" s="260">
        <v>3</v>
      </c>
      <c r="G654" s="260"/>
      <c r="H654" s="260">
        <v>4</v>
      </c>
      <c r="I654" s="260"/>
      <c r="J654" s="260">
        <v>5</v>
      </c>
      <c r="K654" s="260"/>
      <c r="L654" s="260">
        <v>6</v>
      </c>
      <c r="M654" s="260"/>
      <c r="N654" s="260">
        <v>7</v>
      </c>
      <c r="O654" s="260"/>
      <c r="P654" s="50"/>
    </row>
    <row r="655" spans="2:16" ht="15" customHeight="1" x14ac:dyDescent="0.25">
      <c r="B655" s="252" t="s">
        <v>34</v>
      </c>
      <c r="C655" s="253"/>
      <c r="D655" s="254" t="s">
        <v>35</v>
      </c>
      <c r="E655" s="255" t="e">
        <f>IF(WEEKDAY(DATEVALUE(Month1&amp;" 1, "&amp;Year1))=COLUMN(#REF!),1,IF(LEN(C655)&gt;0,C655+1,""))</f>
        <v>#NAME?</v>
      </c>
      <c r="F655" s="253" t="s">
        <v>36</v>
      </c>
      <c r="G655" s="253" t="e">
        <f>IF(WEEKDAY(DATEVALUE(Month1&amp;" 1, "&amp;Year1))=COLUMN(#REF!),1,IF(LEN(E655)&gt;0,E655+1,""))</f>
        <v>#NAME?</v>
      </c>
      <c r="H655" s="254" t="s">
        <v>37</v>
      </c>
      <c r="I655" s="255" t="e">
        <f>IF(WEEKDAY(DATEVALUE(Month1&amp;" 1, "&amp;Year1))=COLUMN(#REF!),1,IF(LEN(G655)&gt;0,G655+1,""))</f>
        <v>#NAME?</v>
      </c>
      <c r="J655" s="256" t="s">
        <v>38</v>
      </c>
      <c r="K655" s="257" t="e">
        <f>IF(WEEKDAY(DATEVALUE(Month1&amp;" 1, "&amp;Year1))=COLUMN(#REF!),1,IF(LEN(I655)&gt;0,I655+1,""))</f>
        <v>#NAME?</v>
      </c>
      <c r="L655" s="258" t="s">
        <v>39</v>
      </c>
      <c r="M655" s="259" t="e">
        <f>IF(WEEKDAY(DATEVALUE(Month1&amp;" 1, "&amp;Year1))=COLUMN(#REF!),1,IF(LEN(K655)&gt;0,K655+1,""))</f>
        <v>#NAME?</v>
      </c>
      <c r="N655" s="258" t="s">
        <v>40</v>
      </c>
      <c r="O655" s="259" t="e">
        <f>IF(WEEKDAY(DATEVALUE(Month1&amp;" 1, "&amp;Year1))=COLUMN(#REF!),1,IF(LEN(M655)&gt;0,M655+1,""))</f>
        <v>#NAME?</v>
      </c>
      <c r="P655" s="53" t="s">
        <v>41</v>
      </c>
    </row>
    <row r="656" spans="2:16" ht="12.75" x14ac:dyDescent="0.25">
      <c r="B656" s="55">
        <f>DAY(IF(DAY(DecSøn1)=1,DecSøn1-6,DecSøn1+1))</f>
        <v>25</v>
      </c>
      <c r="C656" s="56"/>
      <c r="D656" s="57">
        <f>DAY(IF(DAY(DecSøn1)=1,DecSøn1-5,DecSøn1+2))</f>
        <v>26</v>
      </c>
      <c r="E656" s="56"/>
      <c r="F656" s="57">
        <f>DAY(IF(DAY(DecSøn1)=1,DecSøn1-4,DecSøn1+3))</f>
        <v>27</v>
      </c>
      <c r="G656" s="56"/>
      <c r="H656" s="57">
        <f>DAY(IF(DAY(DecSøn1)=1,DecSøn1-3,DecSøn1+4))</f>
        <v>28</v>
      </c>
      <c r="I656" s="56"/>
      <c r="J656" s="57">
        <f>DAY(IF(DAY(DecSøn1)=1,DecSøn1-2,DecSøn1+5))</f>
        <v>29</v>
      </c>
      <c r="K656" s="56"/>
      <c r="L656" s="57">
        <f>DAY(IF(DAY(DecSøn1)=1,DecSøn1-1,DecSøn1+6))</f>
        <v>30</v>
      </c>
      <c r="M656" s="56"/>
      <c r="N656" s="58">
        <f>DAY(IF(DAY(DecSøn1)=1,DecSøn1,DecSøn1+7))</f>
        <v>1</v>
      </c>
      <c r="O656" s="59"/>
      <c r="P656" s="60"/>
    </row>
    <row r="657" spans="2:16" x14ac:dyDescent="0.25">
      <c r="B657" s="61" t="s">
        <v>42</v>
      </c>
      <c r="C657" s="62" t="s">
        <v>43</v>
      </c>
      <c r="D657" s="63" t="s">
        <v>42</v>
      </c>
      <c r="E657" s="62" t="s">
        <v>43</v>
      </c>
      <c r="F657" s="63" t="s">
        <v>42</v>
      </c>
      <c r="G657" s="62" t="s">
        <v>43</v>
      </c>
      <c r="H657" s="63" t="s">
        <v>42</v>
      </c>
      <c r="I657" s="62" t="s">
        <v>43</v>
      </c>
      <c r="J657" s="63" t="s">
        <v>42</v>
      </c>
      <c r="K657" s="62" t="s">
        <v>43</v>
      </c>
      <c r="L657" s="63" t="s">
        <v>42</v>
      </c>
      <c r="M657" s="62" t="s">
        <v>43</v>
      </c>
      <c r="N657" s="64" t="s">
        <v>42</v>
      </c>
      <c r="O657" s="65" t="s">
        <v>43</v>
      </c>
      <c r="P657" s="66"/>
    </row>
    <row r="658" spans="2:16" x14ac:dyDescent="0.25">
      <c r="B658" s="136"/>
      <c r="C658" s="67"/>
      <c r="D658" s="136"/>
      <c r="E658" s="67"/>
      <c r="F658" s="136"/>
      <c r="G658" s="67"/>
      <c r="H658" s="136" t="str">
        <f>IF(Tilmeldingsoversigt!$F$7="x",Morgenmad," ")</f>
        <v>Morgenmad</v>
      </c>
      <c r="I658" s="67">
        <f ca="1">IF(H658=Morgenmad,Tilmeldingsoversigt!$C$15," ")</f>
        <v>16.754098360655739</v>
      </c>
      <c r="J658" s="136" t="str">
        <f>IF(Tilmeldingsoversigt!$G$7="x",Morgenmad," ")</f>
        <v>Morgenmad</v>
      </c>
      <c r="K658" s="67">
        <f ca="1">IF(J658=Morgenmad,Tilmeldingsoversigt!$C$15," ")</f>
        <v>16.754098360655739</v>
      </c>
      <c r="L658" s="136" t="str">
        <f>IF(Tilmeldingsoversigt!$H$7="x",Morgenmad," ")</f>
        <v>Morgenmad</v>
      </c>
      <c r="M658" s="67">
        <f ca="1">IF(L658=Morgenmad,Tilmeldingsoversigt!$C$15," ")</f>
        <v>16.754098360655739</v>
      </c>
      <c r="N658" s="136" t="str">
        <f>IF(Tilmeldingsoversigt!$I$7="x",Morgenmad," ")</f>
        <v>Morgenmad</v>
      </c>
      <c r="O658" s="83">
        <f ca="1">IF(N658=Morgenmad,Tilmeldingsoversigt!$C$15," ")</f>
        <v>16.754098360655739</v>
      </c>
      <c r="P658" s="66"/>
    </row>
    <row r="659" spans="2:16" x14ac:dyDescent="0.25">
      <c r="B659" s="68"/>
      <c r="C659" s="69"/>
      <c r="D659" s="68"/>
      <c r="E659" s="69"/>
      <c r="F659" s="68"/>
      <c r="G659" s="69"/>
      <c r="H659" s="68" t="str">
        <f>IF(Tilmeldingsoversigt!$F$8="x",hovedret," ")</f>
        <v>Hovedret</v>
      </c>
      <c r="I659" s="69">
        <f ca="1">IF(H659=hovedret,Tilmeldingsoversigt!$C$16," ")</f>
        <v>55.016393442622949</v>
      </c>
      <c r="J659" s="68" t="str">
        <f>IF(Tilmeldingsoversigt!$G$8="x",hovedret," ")</f>
        <v>Hovedret</v>
      </c>
      <c r="K659" s="69">
        <f ca="1">IF(J659=hovedret,Tilmeldingsoversigt!$C$16," ")</f>
        <v>55.016393442622949</v>
      </c>
      <c r="L659" s="68" t="str">
        <f>IF(Tilmeldingsoversigt!$H$8="x",hovedret," ")</f>
        <v>Hovedret</v>
      </c>
      <c r="M659" s="69">
        <f ca="1">IF(L659=hovedret,Tilmeldingsoversigt!$C$16," ")</f>
        <v>55.016393442622949</v>
      </c>
      <c r="N659" s="68" t="str">
        <f>IF(Tilmeldingsoversigt!$I$8="x",hovedret," ")</f>
        <v>Hovedret</v>
      </c>
      <c r="O659" s="70">
        <f ca="1">IF(N659=hovedret,Tilmeldingsoversigt!$C$16," ")</f>
        <v>55.016393442622949</v>
      </c>
      <c r="P659" s="66"/>
    </row>
    <row r="660" spans="2:16" x14ac:dyDescent="0.25">
      <c r="B660" s="68"/>
      <c r="C660" s="69"/>
      <c r="D660" s="68"/>
      <c r="E660" s="69"/>
      <c r="F660" s="68"/>
      <c r="G660" s="69"/>
      <c r="H660" s="68" t="str">
        <f>IF(Tilmeldingsoversigt!$F$9="x",Aftensmad," ")</f>
        <v>Aftensmad</v>
      </c>
      <c r="I660" s="69">
        <f ca="1">IF(H660=Aftensmad,Tilmeldingsoversigt!$C$17," ")</f>
        <v>27.540983606557376</v>
      </c>
      <c r="J660" s="68" t="str">
        <f>IF(Tilmeldingsoversigt!$G$9="x",Aftensmad," ")</f>
        <v>Aftensmad</v>
      </c>
      <c r="K660" s="69">
        <f ca="1">IF(J660=Aftensmad,Tilmeldingsoversigt!$C$17," ")</f>
        <v>27.540983606557376</v>
      </c>
      <c r="L660" s="68" t="str">
        <f>IF(Tilmeldingsoversigt!$H$9="x",Aftensmad," ")</f>
        <v>Aftensmad</v>
      </c>
      <c r="M660" s="69">
        <f ca="1">IF(L660=Aftensmad,Tilmeldingsoversigt!$C$17," ")</f>
        <v>27.540983606557376</v>
      </c>
      <c r="N660" s="68" t="str">
        <f>IF(Tilmeldingsoversigt!$I$9="x",Aftensmad," ")</f>
        <v>Aftensmad</v>
      </c>
      <c r="O660" s="70">
        <f ca="1">IF(N660=Aftensmad,Tilmeldingsoversigt!$C$17," ")</f>
        <v>27.540983606557376</v>
      </c>
      <c r="P660" s="66"/>
    </row>
    <row r="661" spans="2:16" x14ac:dyDescent="0.25">
      <c r="B661" s="68"/>
      <c r="C661" s="69"/>
      <c r="D661" s="68"/>
      <c r="E661" s="69"/>
      <c r="F661" s="68"/>
      <c r="G661" s="69"/>
      <c r="H661" s="68" t="str">
        <f>IF(Tilmeldingsoversigt!$F$10="x",biret," ")</f>
        <v>Biret</v>
      </c>
      <c r="I661" s="69">
        <f>IF(H661=biret,biretpris," ")</f>
        <v>0</v>
      </c>
      <c r="J661" s="68" t="str">
        <f>IF(Tilmeldingsoversigt!$G$10="x",biret," ")</f>
        <v>Biret</v>
      </c>
      <c r="K661" s="69">
        <f>IF(J661=biret,biretpris," ")</f>
        <v>0</v>
      </c>
      <c r="L661" s="68" t="str">
        <f>IF(Tilmeldingsoversigt!$H$10="x",biret," ")</f>
        <v>Biret</v>
      </c>
      <c r="M661" s="69">
        <f>IF(L661=biret,biretpris," ")</f>
        <v>0</v>
      </c>
      <c r="N661" s="68" t="str">
        <f>IF(Tilmeldingsoversigt!$I$10="x",biret," ")</f>
        <v>Biret</v>
      </c>
      <c r="O661" s="70">
        <f>IF(N661=biret,biretpris," ")</f>
        <v>0</v>
      </c>
      <c r="P661" s="66"/>
    </row>
    <row r="662" spans="2:16" x14ac:dyDescent="0.25">
      <c r="B662" s="71"/>
      <c r="C662" s="72"/>
      <c r="D662" s="71"/>
      <c r="E662" s="72"/>
      <c r="F662" s="71"/>
      <c r="G662" s="72"/>
      <c r="H662" s="71" t="str">
        <f>IF(Tilmeldingsoversigt!$C$11="x",mellemmåltid," ")</f>
        <v xml:space="preserve"> </v>
      </c>
      <c r="I662" s="72" t="str">
        <f>IF(H662=mellemmåltid,mellemmåltidspris," ")</f>
        <v xml:space="preserve"> </v>
      </c>
      <c r="J662" s="71" t="str">
        <f>IF(Tilmeldingsoversigt!$C$11="x",mellemmåltid," ")</f>
        <v xml:space="preserve"> </v>
      </c>
      <c r="K662" s="72" t="str">
        <f>IF(J662=mellemmåltid,mellemmåltidspris," ")</f>
        <v xml:space="preserve"> </v>
      </c>
      <c r="L662" s="71" t="str">
        <f>IF(Tilmeldingsoversigt!$C$11="x",mellemmåltid," ")</f>
        <v xml:space="preserve"> </v>
      </c>
      <c r="M662" s="72" t="str">
        <f>IF(L662=mellemmåltid,mellemmåltidspris," ")</f>
        <v xml:space="preserve"> </v>
      </c>
      <c r="N662" s="71" t="str">
        <f>IF(Tilmeldingsoversigt!$C$11="x",mellemmåltid," ")</f>
        <v xml:space="preserve"> </v>
      </c>
      <c r="O662" s="73" t="str">
        <f>IF(N662=mellemmåltid,mellemmåltidspris," ")</f>
        <v xml:space="preserve"> </v>
      </c>
      <c r="P662" s="66"/>
    </row>
    <row r="663" spans="2:16" x14ac:dyDescent="0.25">
      <c r="B663" s="74" t="s">
        <v>44</v>
      </c>
      <c r="C663" s="11">
        <f>SUM(C658:C662)</f>
        <v>0</v>
      </c>
      <c r="D663" s="74"/>
      <c r="E663" s="11">
        <f>SUM(E658:E662)</f>
        <v>0</v>
      </c>
      <c r="F663" s="74"/>
      <c r="G663" s="11">
        <f>SUM(G658:G662)</f>
        <v>0</v>
      </c>
      <c r="H663" s="74"/>
      <c r="I663" s="11">
        <f ca="1">SUM(I658:I662)</f>
        <v>99.311475409836063</v>
      </c>
      <c r="J663" s="74"/>
      <c r="K663" s="11">
        <f ca="1">SUM(K658:K662)</f>
        <v>99.311475409836063</v>
      </c>
      <c r="L663" s="74"/>
      <c r="M663" s="11">
        <f ca="1">SUM(M658:M662)</f>
        <v>99.311475409836063</v>
      </c>
      <c r="N663" s="74"/>
      <c r="O663" s="12">
        <f ca="1">SUM(O658:O662)</f>
        <v>99.311475409836063</v>
      </c>
      <c r="P663" s="75">
        <f ca="1">SUMIF(B656:N656,"&lt;8",C663:O663)</f>
        <v>99.311475409836063</v>
      </c>
    </row>
    <row r="664" spans="2:16" x14ac:dyDescent="0.2">
      <c r="B664" s="76"/>
      <c r="C664" s="77"/>
      <c r="D664" s="77"/>
      <c r="E664" s="77"/>
      <c r="F664" s="77"/>
      <c r="G664" s="77"/>
      <c r="H664" s="77"/>
      <c r="I664" s="77"/>
      <c r="J664" s="77"/>
      <c r="K664" s="77"/>
      <c r="L664" s="77"/>
      <c r="M664" s="77"/>
      <c r="N664" s="77"/>
      <c r="O664" s="77"/>
      <c r="P664" s="76"/>
    </row>
    <row r="665" spans="2:16" ht="12.75" x14ac:dyDescent="0.25">
      <c r="B665" s="78">
        <f>N656+1</f>
        <v>2</v>
      </c>
      <c r="C665" s="79"/>
      <c r="D665" s="78">
        <f>B665+1</f>
        <v>3</v>
      </c>
      <c r="E665" s="79"/>
      <c r="F665" s="78">
        <f>D665+1</f>
        <v>4</v>
      </c>
      <c r="G665" s="79"/>
      <c r="H665" s="78">
        <f>F665+1</f>
        <v>5</v>
      </c>
      <c r="I665" s="79"/>
      <c r="J665" s="78">
        <f>H665+1</f>
        <v>6</v>
      </c>
      <c r="K665" s="79"/>
      <c r="L665" s="78">
        <f>J665+1</f>
        <v>7</v>
      </c>
      <c r="M665" s="79"/>
      <c r="N665" s="78">
        <f>L665+1</f>
        <v>8</v>
      </c>
      <c r="O665" s="79"/>
      <c r="P665" s="80"/>
    </row>
    <row r="666" spans="2:16" x14ac:dyDescent="0.25">
      <c r="B666" s="64" t="s">
        <v>42</v>
      </c>
      <c r="C666" s="81" t="s">
        <v>43</v>
      </c>
      <c r="D666" s="64" t="s">
        <v>42</v>
      </c>
      <c r="E666" s="81" t="s">
        <v>43</v>
      </c>
      <c r="F666" s="64" t="s">
        <v>42</v>
      </c>
      <c r="G666" s="81" t="s">
        <v>43</v>
      </c>
      <c r="H666" s="64" t="s">
        <v>42</v>
      </c>
      <c r="I666" s="81" t="s">
        <v>43</v>
      </c>
      <c r="J666" s="64" t="s">
        <v>42</v>
      </c>
      <c r="K666" s="81" t="s">
        <v>43</v>
      </c>
      <c r="L666" s="64" t="s">
        <v>42</v>
      </c>
      <c r="M666" s="81" t="s">
        <v>43</v>
      </c>
      <c r="N666" s="64" t="s">
        <v>42</v>
      </c>
      <c r="O666" s="82" t="s">
        <v>43</v>
      </c>
      <c r="P666" s="66"/>
    </row>
    <row r="667" spans="2:16" x14ac:dyDescent="0.25">
      <c r="B667" s="136" t="str">
        <f>IF(Tilmeldingsoversigt!$C$7="x",Morgenmad," ")</f>
        <v>Morgenmad</v>
      </c>
      <c r="C667" s="67">
        <f ca="1">IF(B667=Morgenmad,Tilmeldingsoversigt!$C$15," ")</f>
        <v>16.754098360655739</v>
      </c>
      <c r="D667" s="136" t="str">
        <f>IF(Tilmeldingsoversigt!$D$7="x",Morgenmad," ")</f>
        <v>Morgenmad</v>
      </c>
      <c r="E667" s="67">
        <f ca="1">IF(D667=Morgenmad,Tilmeldingsoversigt!$C$15," ")</f>
        <v>16.754098360655739</v>
      </c>
      <c r="F667" s="136" t="str">
        <f>IF(Tilmeldingsoversigt!$E$7="x",Morgenmad," ")</f>
        <v>Morgenmad</v>
      </c>
      <c r="G667" s="67">
        <f ca="1">IF(F667=Morgenmad,Tilmeldingsoversigt!$C$15," ")</f>
        <v>16.754098360655739</v>
      </c>
      <c r="H667" s="136" t="str">
        <f>IF(Tilmeldingsoversigt!$F$7="x",Morgenmad," ")</f>
        <v>Morgenmad</v>
      </c>
      <c r="I667" s="67">
        <f ca="1">IF(H667=Morgenmad,Tilmeldingsoversigt!$C$15," ")</f>
        <v>16.754098360655739</v>
      </c>
      <c r="J667" s="136" t="str">
        <f>IF(Tilmeldingsoversigt!$G$7="x",Morgenmad," ")</f>
        <v>Morgenmad</v>
      </c>
      <c r="K667" s="67">
        <f ca="1">IF(J667=Morgenmad,Tilmeldingsoversigt!$C$15," ")</f>
        <v>16.754098360655739</v>
      </c>
      <c r="L667" s="136" t="str">
        <f>IF(Tilmeldingsoversigt!$H$7="x",Morgenmad," ")</f>
        <v>Morgenmad</v>
      </c>
      <c r="M667" s="67">
        <f ca="1">IF(L667=Morgenmad,Tilmeldingsoversigt!$C$15," ")</f>
        <v>16.754098360655739</v>
      </c>
      <c r="N667" s="136" t="str">
        <f>IF(Tilmeldingsoversigt!$I$7="x",Morgenmad," ")</f>
        <v>Morgenmad</v>
      </c>
      <c r="O667" s="83">
        <f ca="1">IF(N667=Morgenmad,Tilmeldingsoversigt!$C$15," ")</f>
        <v>16.754098360655739</v>
      </c>
      <c r="P667" s="66"/>
    </row>
    <row r="668" spans="2:16" x14ac:dyDescent="0.25">
      <c r="B668" s="68" t="str">
        <f>IF(Tilmeldingsoversigt!$C$8="x",hovedret," ")</f>
        <v>Hovedret</v>
      </c>
      <c r="C668" s="69">
        <f ca="1">IF(B668=hovedret,Tilmeldingsoversigt!$C$16," ")</f>
        <v>55.016393442622949</v>
      </c>
      <c r="D668" s="68" t="str">
        <f>IF(Tilmeldingsoversigt!$D$8="x",hovedret," ")</f>
        <v>Hovedret</v>
      </c>
      <c r="E668" s="69">
        <f ca="1">IF(D668=hovedret,Tilmeldingsoversigt!$C$16," ")</f>
        <v>55.016393442622949</v>
      </c>
      <c r="F668" s="68" t="str">
        <f>IF(Tilmeldingsoversigt!$E$8="x",hovedret," ")</f>
        <v>Hovedret</v>
      </c>
      <c r="G668" s="69">
        <f ca="1">IF(F668=hovedret,Tilmeldingsoversigt!$C$16," ")</f>
        <v>55.016393442622949</v>
      </c>
      <c r="H668" s="68" t="str">
        <f>IF(Tilmeldingsoversigt!$F$8="x",hovedret," ")</f>
        <v>Hovedret</v>
      </c>
      <c r="I668" s="69">
        <f ca="1">IF(H668=hovedret,Tilmeldingsoversigt!$C$16," ")</f>
        <v>55.016393442622949</v>
      </c>
      <c r="J668" s="68" t="str">
        <f>IF(Tilmeldingsoversigt!$G$8="x",hovedret," ")</f>
        <v>Hovedret</v>
      </c>
      <c r="K668" s="69">
        <f ca="1">IF(J668=hovedret,Tilmeldingsoversigt!$C$16," ")</f>
        <v>55.016393442622949</v>
      </c>
      <c r="L668" s="68" t="str">
        <f>IF(Tilmeldingsoversigt!$H$8="x",hovedret," ")</f>
        <v>Hovedret</v>
      </c>
      <c r="M668" s="69">
        <f ca="1">IF(L668=hovedret,Tilmeldingsoversigt!$C$16," ")</f>
        <v>55.016393442622949</v>
      </c>
      <c r="N668" s="68" t="str">
        <f>IF(Tilmeldingsoversigt!$I$8="x",hovedret," ")</f>
        <v>Hovedret</v>
      </c>
      <c r="O668" s="70">
        <f ca="1">IF(N668=hovedret,Tilmeldingsoversigt!$C$16," ")</f>
        <v>55.016393442622949</v>
      </c>
      <c r="P668" s="66"/>
    </row>
    <row r="669" spans="2:16" x14ac:dyDescent="0.25">
      <c r="B669" s="68" t="str">
        <f>IF(Tilmeldingsoversigt!$C$9="x",Aftensmad," ")</f>
        <v>Aftensmad</v>
      </c>
      <c r="C669" s="69">
        <f ca="1">IF(B669=Aftensmad,Tilmeldingsoversigt!$C$17," ")</f>
        <v>27.540983606557376</v>
      </c>
      <c r="D669" s="68" t="str">
        <f>IF(Tilmeldingsoversigt!$D$9="x",Aftensmad," ")</f>
        <v>Aftensmad</v>
      </c>
      <c r="E669" s="69">
        <f ca="1">IF(D669=Aftensmad,Tilmeldingsoversigt!$C$17," ")</f>
        <v>27.540983606557376</v>
      </c>
      <c r="F669" s="68" t="str">
        <f>IF(Tilmeldingsoversigt!$E$9="x",Aftensmad," ")</f>
        <v>Aftensmad</v>
      </c>
      <c r="G669" s="69">
        <f ca="1">IF(F669=Aftensmad,Tilmeldingsoversigt!$C$17," ")</f>
        <v>27.540983606557376</v>
      </c>
      <c r="H669" s="68" t="str">
        <f>IF(Tilmeldingsoversigt!$F$9="x",Aftensmad," ")</f>
        <v>Aftensmad</v>
      </c>
      <c r="I669" s="69">
        <f ca="1">IF(H669=Aftensmad,Tilmeldingsoversigt!$C$17," ")</f>
        <v>27.540983606557376</v>
      </c>
      <c r="J669" s="68" t="str">
        <f>IF(Tilmeldingsoversigt!$G$9="x",Aftensmad," ")</f>
        <v>Aftensmad</v>
      </c>
      <c r="K669" s="69">
        <f ca="1">IF(J669=Aftensmad,Tilmeldingsoversigt!$C$17," ")</f>
        <v>27.540983606557376</v>
      </c>
      <c r="L669" s="68" t="str">
        <f>IF(Tilmeldingsoversigt!$H$9="x",Aftensmad," ")</f>
        <v>Aftensmad</v>
      </c>
      <c r="M669" s="69">
        <f ca="1">IF(L669=Aftensmad,Tilmeldingsoversigt!$C$17," ")</f>
        <v>27.540983606557376</v>
      </c>
      <c r="N669" s="68" t="str">
        <f>IF(Tilmeldingsoversigt!$I$9="x",Aftensmad," ")</f>
        <v>Aftensmad</v>
      </c>
      <c r="O669" s="70">
        <f ca="1">IF(N669=Aftensmad,Tilmeldingsoversigt!$C$17," ")</f>
        <v>27.540983606557376</v>
      </c>
      <c r="P669" s="66"/>
    </row>
    <row r="670" spans="2:16" x14ac:dyDescent="0.25">
      <c r="B670" s="68" t="str">
        <f>IF(Tilmeldingsoversigt!$C$10="x",biret," ")</f>
        <v>Biret</v>
      </c>
      <c r="C670" s="69">
        <f>IF(B670=biret,biretpris," ")</f>
        <v>0</v>
      </c>
      <c r="D670" s="68" t="str">
        <f>IF(Tilmeldingsoversigt!$D$10="x",biret," ")</f>
        <v>Biret</v>
      </c>
      <c r="E670" s="69">
        <f>IF(D670=biret,biretpris," ")</f>
        <v>0</v>
      </c>
      <c r="F670" s="68" t="str">
        <f>IF(Tilmeldingsoversigt!$E$10="x",biret," ")</f>
        <v>Biret</v>
      </c>
      <c r="G670" s="69">
        <f>IF(F670=biret,biretpris," ")</f>
        <v>0</v>
      </c>
      <c r="H670" s="68" t="str">
        <f>IF(Tilmeldingsoversigt!$F$10="x",biret," ")</f>
        <v>Biret</v>
      </c>
      <c r="I670" s="69">
        <f>IF(H670=biret,biretpris," ")</f>
        <v>0</v>
      </c>
      <c r="J670" s="68" t="str">
        <f>IF(Tilmeldingsoversigt!$G$10="x",biret," ")</f>
        <v>Biret</v>
      </c>
      <c r="K670" s="69">
        <f>IF(J670=biret,biretpris," ")</f>
        <v>0</v>
      </c>
      <c r="L670" s="68" t="str">
        <f>IF(Tilmeldingsoversigt!$H$10="x",biret," ")</f>
        <v>Biret</v>
      </c>
      <c r="M670" s="69">
        <f>IF(L670=biret,biretpris," ")</f>
        <v>0</v>
      </c>
      <c r="N670" s="68" t="str">
        <f>IF(Tilmeldingsoversigt!$I$10="x",biret," ")</f>
        <v>Biret</v>
      </c>
      <c r="O670" s="70">
        <f>IF(N670=biret,biretpris," ")</f>
        <v>0</v>
      </c>
      <c r="P670" s="66"/>
    </row>
    <row r="671" spans="2:16" x14ac:dyDescent="0.25">
      <c r="B671" s="71" t="str">
        <f>IF(Tilmeldingsoversigt!$C$11="x",mellemmåltid," ")</f>
        <v xml:space="preserve"> </v>
      </c>
      <c r="C671" s="72" t="str">
        <f>IF(B671=mellemmåltid,mellemmåltidspris," ")</f>
        <v xml:space="preserve"> </v>
      </c>
      <c r="D671" s="71" t="str">
        <f>IF(Tilmeldingsoversigt!$C$11="x",mellemmåltid," ")</f>
        <v xml:space="preserve"> </v>
      </c>
      <c r="E671" s="72" t="str">
        <f>IF(D671=mellemmåltid,mellemmåltidspris," ")</f>
        <v xml:space="preserve"> </v>
      </c>
      <c r="F671" s="71" t="str">
        <f>IF(Tilmeldingsoversigt!$C$11="x",mellemmåltid," ")</f>
        <v xml:space="preserve"> </v>
      </c>
      <c r="G671" s="72" t="str">
        <f>IF(F671=mellemmåltid,mellemmåltidspris," ")</f>
        <v xml:space="preserve"> </v>
      </c>
      <c r="H671" s="71" t="str">
        <f>IF(Tilmeldingsoversigt!$C$11="x",mellemmåltid," ")</f>
        <v xml:space="preserve"> </v>
      </c>
      <c r="I671" s="72" t="str">
        <f>IF(H671=mellemmåltid,mellemmåltidspris," ")</f>
        <v xml:space="preserve"> </v>
      </c>
      <c r="J671" s="71" t="str">
        <f>IF(Tilmeldingsoversigt!$C$11="x",mellemmåltid," ")</f>
        <v xml:space="preserve"> </v>
      </c>
      <c r="K671" s="72" t="str">
        <f>IF(J671=mellemmåltid,mellemmåltidspris," ")</f>
        <v xml:space="preserve"> </v>
      </c>
      <c r="L671" s="71" t="str">
        <f>IF(Tilmeldingsoversigt!$C$11="x",mellemmåltid," ")</f>
        <v xml:space="preserve"> </v>
      </c>
      <c r="M671" s="72" t="str">
        <f>IF(L671=mellemmåltid,mellemmåltidspris," ")</f>
        <v xml:space="preserve"> </v>
      </c>
      <c r="N671" s="71" t="str">
        <f>IF(Tilmeldingsoversigt!$C$11="x",mellemmåltid," ")</f>
        <v xml:space="preserve"> </v>
      </c>
      <c r="O671" s="73" t="str">
        <f>IF(N671=mellemmåltid,mellemmåltidspris," ")</f>
        <v xml:space="preserve"> </v>
      </c>
      <c r="P671" s="66"/>
    </row>
    <row r="672" spans="2:16" x14ac:dyDescent="0.25">
      <c r="B672" s="74" t="s">
        <v>44</v>
      </c>
      <c r="C672" s="11">
        <f ca="1">SUM(C667:C671)</f>
        <v>99.311475409836063</v>
      </c>
      <c r="D672" s="74"/>
      <c r="E672" s="11">
        <f ca="1">SUM(E667:E671)</f>
        <v>99.311475409836063</v>
      </c>
      <c r="F672" s="74"/>
      <c r="G672" s="11">
        <f ca="1">SUM(G667:G671)</f>
        <v>99.311475409836063</v>
      </c>
      <c r="H672" s="74"/>
      <c r="I672" s="11">
        <f ca="1">SUM(I667:I671)</f>
        <v>99.311475409836063</v>
      </c>
      <c r="J672" s="74"/>
      <c r="K672" s="11">
        <f ca="1">SUM(K667:K671)</f>
        <v>99.311475409836063</v>
      </c>
      <c r="L672" s="74"/>
      <c r="M672" s="11">
        <f ca="1">SUM(M667:M671)</f>
        <v>99.311475409836063</v>
      </c>
      <c r="N672" s="74"/>
      <c r="O672" s="12">
        <f ca="1">SUM(O667:O671)</f>
        <v>99.311475409836063</v>
      </c>
      <c r="P672" s="75">
        <f ca="1">SUM(C672,E672,G672,I672,K672,M672,O672)</f>
        <v>695.18032786885237</v>
      </c>
    </row>
    <row r="673" spans="2:16" x14ac:dyDescent="0.2">
      <c r="B673" s="76"/>
      <c r="C673" s="77"/>
      <c r="D673" s="77"/>
      <c r="E673" s="77"/>
      <c r="F673" s="77"/>
      <c r="G673" s="77"/>
      <c r="H673" s="77"/>
      <c r="I673" s="77"/>
      <c r="J673" s="77"/>
      <c r="K673" s="77"/>
      <c r="L673" s="77"/>
      <c r="M673" s="77"/>
      <c r="N673" s="77"/>
      <c r="O673" s="77"/>
      <c r="P673" s="76"/>
    </row>
    <row r="674" spans="2:16" ht="12.75" x14ac:dyDescent="0.25">
      <c r="B674" s="78">
        <f>N665+1</f>
        <v>9</v>
      </c>
      <c r="C674" s="79"/>
      <c r="D674" s="78">
        <f>B674+1</f>
        <v>10</v>
      </c>
      <c r="E674" s="79"/>
      <c r="F674" s="78">
        <f>D674+1</f>
        <v>11</v>
      </c>
      <c r="G674" s="79"/>
      <c r="H674" s="78">
        <f>F674+1</f>
        <v>12</v>
      </c>
      <c r="I674" s="79"/>
      <c r="J674" s="78">
        <f>H674+1</f>
        <v>13</v>
      </c>
      <c r="K674" s="79"/>
      <c r="L674" s="78">
        <f>J674+1</f>
        <v>14</v>
      </c>
      <c r="M674" s="79"/>
      <c r="N674" s="78">
        <f>L674+1</f>
        <v>15</v>
      </c>
      <c r="O674" s="79"/>
      <c r="P674" s="80"/>
    </row>
    <row r="675" spans="2:16" x14ac:dyDescent="0.25">
      <c r="B675" s="64" t="s">
        <v>42</v>
      </c>
      <c r="C675" s="81" t="s">
        <v>43</v>
      </c>
      <c r="D675" s="64" t="s">
        <v>42</v>
      </c>
      <c r="E675" s="81" t="s">
        <v>43</v>
      </c>
      <c r="F675" s="64" t="s">
        <v>42</v>
      </c>
      <c r="G675" s="81" t="s">
        <v>43</v>
      </c>
      <c r="H675" s="64" t="s">
        <v>42</v>
      </c>
      <c r="I675" s="81" t="s">
        <v>43</v>
      </c>
      <c r="J675" s="64" t="s">
        <v>42</v>
      </c>
      <c r="K675" s="81" t="s">
        <v>43</v>
      </c>
      <c r="L675" s="64" t="s">
        <v>42</v>
      </c>
      <c r="M675" s="81" t="s">
        <v>43</v>
      </c>
      <c r="N675" s="64" t="s">
        <v>42</v>
      </c>
      <c r="O675" s="82" t="s">
        <v>43</v>
      </c>
      <c r="P675" s="66"/>
    </row>
    <row r="676" spans="2:16" x14ac:dyDescent="0.25">
      <c r="B676" s="136" t="str">
        <f>IF(Tilmeldingsoversigt!$C$7="x",Morgenmad," ")</f>
        <v>Morgenmad</v>
      </c>
      <c r="C676" s="67">
        <f ca="1">IF(B676=Morgenmad,Tilmeldingsoversigt!$C$15," ")</f>
        <v>16.754098360655739</v>
      </c>
      <c r="D676" s="136" t="str">
        <f>IF(Tilmeldingsoversigt!$D$7="x",Morgenmad," ")</f>
        <v>Morgenmad</v>
      </c>
      <c r="E676" s="67">
        <f ca="1">IF(D676=Morgenmad,Tilmeldingsoversigt!$C$15," ")</f>
        <v>16.754098360655739</v>
      </c>
      <c r="F676" s="136" t="str">
        <f>IF(Tilmeldingsoversigt!$E$7="x",Morgenmad," ")</f>
        <v>Morgenmad</v>
      </c>
      <c r="G676" s="67">
        <f ca="1">IF(F676=Morgenmad,Tilmeldingsoversigt!$C$15," ")</f>
        <v>16.754098360655739</v>
      </c>
      <c r="H676" s="136" t="str">
        <f>IF(Tilmeldingsoversigt!$F$7="x",Morgenmad," ")</f>
        <v>Morgenmad</v>
      </c>
      <c r="I676" s="67">
        <f ca="1">IF(H676=Morgenmad,Tilmeldingsoversigt!$C$15," ")</f>
        <v>16.754098360655739</v>
      </c>
      <c r="J676" s="136" t="str">
        <f>IF(Tilmeldingsoversigt!$G$7="x",Morgenmad," ")</f>
        <v>Morgenmad</v>
      </c>
      <c r="K676" s="67">
        <f ca="1">IF(J676=Morgenmad,Tilmeldingsoversigt!$C$15," ")</f>
        <v>16.754098360655739</v>
      </c>
      <c r="L676" s="136" t="str">
        <f>IF(Tilmeldingsoversigt!$H$7="x",Morgenmad," ")</f>
        <v>Morgenmad</v>
      </c>
      <c r="M676" s="67">
        <f ca="1">IF(L676=Morgenmad,Tilmeldingsoversigt!$C$15," ")</f>
        <v>16.754098360655739</v>
      </c>
      <c r="N676" s="136" t="str">
        <f>IF(Tilmeldingsoversigt!$I$7="x",Morgenmad," ")</f>
        <v>Morgenmad</v>
      </c>
      <c r="O676" s="83">
        <f ca="1">IF(N676=Morgenmad,Tilmeldingsoversigt!$C$15," ")</f>
        <v>16.754098360655739</v>
      </c>
      <c r="P676" s="66"/>
    </row>
    <row r="677" spans="2:16" x14ac:dyDescent="0.25">
      <c r="B677" s="68" t="str">
        <f>IF(Tilmeldingsoversigt!$C$8="x",hovedret," ")</f>
        <v>Hovedret</v>
      </c>
      <c r="C677" s="69">
        <f ca="1">IF(B677=hovedret,Tilmeldingsoversigt!$C$16," ")</f>
        <v>55.016393442622949</v>
      </c>
      <c r="D677" s="68" t="str">
        <f>IF(Tilmeldingsoversigt!$D$8="x",hovedret," ")</f>
        <v>Hovedret</v>
      </c>
      <c r="E677" s="69">
        <f ca="1">IF(D677=hovedret,Tilmeldingsoversigt!$C$16," ")</f>
        <v>55.016393442622949</v>
      </c>
      <c r="F677" s="68" t="str">
        <f>IF(Tilmeldingsoversigt!$E$8="x",hovedret," ")</f>
        <v>Hovedret</v>
      </c>
      <c r="G677" s="69">
        <f ca="1">IF(F677=hovedret,Tilmeldingsoversigt!$C$16," ")</f>
        <v>55.016393442622949</v>
      </c>
      <c r="H677" s="68" t="str">
        <f>IF(Tilmeldingsoversigt!$F$8="x",hovedret," ")</f>
        <v>Hovedret</v>
      </c>
      <c r="I677" s="69">
        <f ca="1">IF(H677=hovedret,Tilmeldingsoversigt!$C$16," ")</f>
        <v>55.016393442622949</v>
      </c>
      <c r="J677" s="68" t="str">
        <f>IF(Tilmeldingsoversigt!$G$8="x",hovedret," ")</f>
        <v>Hovedret</v>
      </c>
      <c r="K677" s="69">
        <f ca="1">IF(J677=hovedret,Tilmeldingsoversigt!$C$16," ")</f>
        <v>55.016393442622949</v>
      </c>
      <c r="L677" s="68" t="str">
        <f>IF(Tilmeldingsoversigt!$H$8="x",hovedret," ")</f>
        <v>Hovedret</v>
      </c>
      <c r="M677" s="69">
        <f ca="1">IF(L677=hovedret,Tilmeldingsoversigt!$C$16," ")</f>
        <v>55.016393442622949</v>
      </c>
      <c r="N677" s="68" t="str">
        <f>IF(Tilmeldingsoversigt!$I$8="x",hovedret," ")</f>
        <v>Hovedret</v>
      </c>
      <c r="O677" s="70">
        <f ca="1">IF(N677=hovedret,Tilmeldingsoversigt!$C$16," ")</f>
        <v>55.016393442622949</v>
      </c>
      <c r="P677" s="66"/>
    </row>
    <row r="678" spans="2:16" x14ac:dyDescent="0.25">
      <c r="B678" s="68" t="str">
        <f>IF(Tilmeldingsoversigt!$C$9="x",Aftensmad," ")</f>
        <v>Aftensmad</v>
      </c>
      <c r="C678" s="69">
        <f ca="1">IF(B678=Aftensmad,Tilmeldingsoversigt!$C$17," ")</f>
        <v>27.540983606557376</v>
      </c>
      <c r="D678" s="68" t="str">
        <f>IF(Tilmeldingsoversigt!$D$9="x",Aftensmad," ")</f>
        <v>Aftensmad</v>
      </c>
      <c r="E678" s="69">
        <f ca="1">IF(D678=Aftensmad,Tilmeldingsoversigt!$C$17," ")</f>
        <v>27.540983606557376</v>
      </c>
      <c r="F678" s="68" t="str">
        <f>IF(Tilmeldingsoversigt!$E$9="x",Aftensmad," ")</f>
        <v>Aftensmad</v>
      </c>
      <c r="G678" s="69">
        <f ca="1">IF(F678=Aftensmad,Tilmeldingsoversigt!$C$17," ")</f>
        <v>27.540983606557376</v>
      </c>
      <c r="H678" s="68" t="str">
        <f>IF(Tilmeldingsoversigt!$F$9="x",Aftensmad," ")</f>
        <v>Aftensmad</v>
      </c>
      <c r="I678" s="69">
        <f ca="1">IF(H678=Aftensmad,Tilmeldingsoversigt!$C$17," ")</f>
        <v>27.540983606557376</v>
      </c>
      <c r="J678" s="68" t="str">
        <f>IF(Tilmeldingsoversigt!$G$9="x",Aftensmad," ")</f>
        <v>Aftensmad</v>
      </c>
      <c r="K678" s="69">
        <f ca="1">IF(J678=Aftensmad,Tilmeldingsoversigt!$C$17," ")</f>
        <v>27.540983606557376</v>
      </c>
      <c r="L678" s="68" t="str">
        <f>IF(Tilmeldingsoversigt!$H$9="x",Aftensmad," ")</f>
        <v>Aftensmad</v>
      </c>
      <c r="M678" s="69">
        <f ca="1">IF(L678=Aftensmad,Tilmeldingsoversigt!$C$17," ")</f>
        <v>27.540983606557376</v>
      </c>
      <c r="N678" s="68" t="str">
        <f>IF(Tilmeldingsoversigt!$I$9="x",Aftensmad," ")</f>
        <v>Aftensmad</v>
      </c>
      <c r="O678" s="70">
        <f ca="1">IF(N678=Aftensmad,Tilmeldingsoversigt!$C$17," ")</f>
        <v>27.540983606557376</v>
      </c>
      <c r="P678" s="66"/>
    </row>
    <row r="679" spans="2:16" x14ac:dyDescent="0.25">
      <c r="B679" s="68" t="str">
        <f>IF(Tilmeldingsoversigt!$C$10="x",biret," ")</f>
        <v>Biret</v>
      </c>
      <c r="C679" s="69">
        <f>IF(B679=biret,biretpris," ")</f>
        <v>0</v>
      </c>
      <c r="D679" s="68" t="str">
        <f>IF(Tilmeldingsoversigt!$D$10="x",biret," ")</f>
        <v>Biret</v>
      </c>
      <c r="E679" s="69">
        <f>IF(D679=biret,biretpris," ")</f>
        <v>0</v>
      </c>
      <c r="F679" s="68" t="str">
        <f>IF(Tilmeldingsoversigt!$E$10="x",biret," ")</f>
        <v>Biret</v>
      </c>
      <c r="G679" s="69">
        <f>IF(F679=biret,biretpris," ")</f>
        <v>0</v>
      </c>
      <c r="H679" s="68" t="str">
        <f>IF(Tilmeldingsoversigt!$F$10="x",biret," ")</f>
        <v>Biret</v>
      </c>
      <c r="I679" s="69">
        <f>IF(H679=biret,biretpris," ")</f>
        <v>0</v>
      </c>
      <c r="J679" s="68" t="str">
        <f>IF(Tilmeldingsoversigt!$G$10="x",biret," ")</f>
        <v>Biret</v>
      </c>
      <c r="K679" s="69">
        <f>IF(J679=biret,biretpris," ")</f>
        <v>0</v>
      </c>
      <c r="L679" s="68" t="str">
        <f>IF(Tilmeldingsoversigt!$H$10="x",biret," ")</f>
        <v>Biret</v>
      </c>
      <c r="M679" s="69">
        <f>IF(L679=biret,biretpris," ")</f>
        <v>0</v>
      </c>
      <c r="N679" s="68" t="str">
        <f>IF(Tilmeldingsoversigt!$I$10="x",biret," ")</f>
        <v>Biret</v>
      </c>
      <c r="O679" s="70">
        <f>IF(N679=biret,biretpris," ")</f>
        <v>0</v>
      </c>
      <c r="P679" s="66"/>
    </row>
    <row r="680" spans="2:16" x14ac:dyDescent="0.25">
      <c r="B680" s="71" t="str">
        <f>IF(Tilmeldingsoversigt!$C$11="x",mellemmåltid," ")</f>
        <v xml:space="preserve"> </v>
      </c>
      <c r="C680" s="72" t="str">
        <f>IF(B680=mellemmåltid,mellemmåltidspris," ")</f>
        <v xml:space="preserve"> </v>
      </c>
      <c r="D680" s="71" t="str">
        <f>IF(Tilmeldingsoversigt!$C$11="x",mellemmåltid," ")</f>
        <v xml:space="preserve"> </v>
      </c>
      <c r="E680" s="72" t="str">
        <f>IF(D680=mellemmåltid,mellemmåltidspris," ")</f>
        <v xml:space="preserve"> </v>
      </c>
      <c r="F680" s="71" t="str">
        <f>IF(Tilmeldingsoversigt!$C$11="x",mellemmåltid," ")</f>
        <v xml:space="preserve"> </v>
      </c>
      <c r="G680" s="72" t="str">
        <f>IF(F680=mellemmåltid,mellemmåltidspris," ")</f>
        <v xml:space="preserve"> </v>
      </c>
      <c r="H680" s="71" t="str">
        <f>IF(Tilmeldingsoversigt!$C$11="x",mellemmåltid," ")</f>
        <v xml:space="preserve"> </v>
      </c>
      <c r="I680" s="72" t="str">
        <f>IF(H680=mellemmåltid,mellemmåltidspris," ")</f>
        <v xml:space="preserve"> </v>
      </c>
      <c r="J680" s="71" t="str">
        <f>IF(Tilmeldingsoversigt!$C$11="x",mellemmåltid," ")</f>
        <v xml:space="preserve"> </v>
      </c>
      <c r="K680" s="72" t="str">
        <f>IF(J680=mellemmåltid,mellemmåltidspris," ")</f>
        <v xml:space="preserve"> </v>
      </c>
      <c r="L680" s="71" t="str">
        <f>IF(Tilmeldingsoversigt!$C$11="x",mellemmåltid," ")</f>
        <v xml:space="preserve"> </v>
      </c>
      <c r="M680" s="72" t="str">
        <f>IF(L680=mellemmåltid,mellemmåltidspris," ")</f>
        <v xml:space="preserve"> </v>
      </c>
      <c r="N680" s="71" t="str">
        <f>IF(Tilmeldingsoversigt!$C$11="x",mellemmåltid," ")</f>
        <v xml:space="preserve"> </v>
      </c>
      <c r="O680" s="73" t="str">
        <f>IF(N680=mellemmåltid,mellemmåltidspris," ")</f>
        <v xml:space="preserve"> </v>
      </c>
      <c r="P680" s="66"/>
    </row>
    <row r="681" spans="2:16" x14ac:dyDescent="0.25">
      <c r="B681" s="84" t="s">
        <v>44</v>
      </c>
      <c r="C681" s="11">
        <f ca="1">SUM(C676:C680)</f>
        <v>99.311475409836063</v>
      </c>
      <c r="D681" s="74"/>
      <c r="E681" s="11">
        <f ca="1">SUM(E676:E680)</f>
        <v>99.311475409836063</v>
      </c>
      <c r="F681" s="74"/>
      <c r="G681" s="11">
        <f ca="1">SUM(G676:G680)</f>
        <v>99.311475409836063</v>
      </c>
      <c r="H681" s="74"/>
      <c r="I681" s="11">
        <f ca="1">SUM(I676:I680)</f>
        <v>99.311475409836063</v>
      </c>
      <c r="J681" s="74"/>
      <c r="K681" s="11">
        <f ca="1">SUM(K676:K680)</f>
        <v>99.311475409836063</v>
      </c>
      <c r="L681" s="74"/>
      <c r="M681" s="11">
        <f ca="1">SUM(M676:M680)</f>
        <v>99.311475409836063</v>
      </c>
      <c r="N681" s="74"/>
      <c r="O681" s="12">
        <f ca="1">SUM(O676:O680)</f>
        <v>99.311475409836063</v>
      </c>
      <c r="P681" s="75">
        <f ca="1">SUM(C681,E681,G681,I681,K681,M681,O681)</f>
        <v>695.18032786885237</v>
      </c>
    </row>
    <row r="682" spans="2:16" x14ac:dyDescent="0.2">
      <c r="B682" s="76"/>
      <c r="C682" s="77"/>
      <c r="D682" s="77"/>
      <c r="E682" s="77"/>
      <c r="F682" s="77"/>
      <c r="G682" s="77"/>
      <c r="H682" s="77"/>
      <c r="I682" s="77"/>
      <c r="J682" s="77"/>
      <c r="K682" s="77"/>
      <c r="L682" s="77"/>
      <c r="M682" s="77"/>
      <c r="N682" s="77"/>
      <c r="O682" s="77"/>
      <c r="P682" s="76"/>
    </row>
    <row r="683" spans="2:16" ht="12.75" x14ac:dyDescent="0.25">
      <c r="B683" s="78">
        <f>N674+1</f>
        <v>16</v>
      </c>
      <c r="C683" s="79"/>
      <c r="D683" s="78">
        <f>B683+1</f>
        <v>17</v>
      </c>
      <c r="E683" s="79"/>
      <c r="F683" s="78">
        <f>D683+1</f>
        <v>18</v>
      </c>
      <c r="G683" s="79"/>
      <c r="H683" s="78">
        <f>F683+1</f>
        <v>19</v>
      </c>
      <c r="I683" s="79"/>
      <c r="J683" s="78">
        <f>H683+1</f>
        <v>20</v>
      </c>
      <c r="K683" s="79"/>
      <c r="L683" s="78">
        <f>J683+1</f>
        <v>21</v>
      </c>
      <c r="M683" s="79"/>
      <c r="N683" s="78">
        <f>L683+1</f>
        <v>22</v>
      </c>
      <c r="O683" s="79"/>
      <c r="P683" s="80"/>
    </row>
    <row r="684" spans="2:16" x14ac:dyDescent="0.25">
      <c r="B684" s="64" t="s">
        <v>42</v>
      </c>
      <c r="C684" s="81" t="s">
        <v>43</v>
      </c>
      <c r="D684" s="64" t="s">
        <v>42</v>
      </c>
      <c r="E684" s="81" t="s">
        <v>43</v>
      </c>
      <c r="F684" s="64" t="s">
        <v>42</v>
      </c>
      <c r="G684" s="81" t="s">
        <v>43</v>
      </c>
      <c r="H684" s="64" t="s">
        <v>42</v>
      </c>
      <c r="I684" s="81" t="s">
        <v>43</v>
      </c>
      <c r="J684" s="64" t="s">
        <v>42</v>
      </c>
      <c r="K684" s="81" t="s">
        <v>43</v>
      </c>
      <c r="L684" s="64" t="s">
        <v>42</v>
      </c>
      <c r="M684" s="81" t="s">
        <v>43</v>
      </c>
      <c r="N684" s="64" t="s">
        <v>42</v>
      </c>
      <c r="O684" s="82" t="s">
        <v>43</v>
      </c>
      <c r="P684" s="66"/>
    </row>
    <row r="685" spans="2:16" x14ac:dyDescent="0.25">
      <c r="B685" s="136" t="str">
        <f>IF(Tilmeldingsoversigt!$C$7="x",Morgenmad," ")</f>
        <v>Morgenmad</v>
      </c>
      <c r="C685" s="67">
        <f ca="1">IF(B685=Morgenmad,Tilmeldingsoversigt!$C$15," ")</f>
        <v>16.754098360655739</v>
      </c>
      <c r="D685" s="136" t="str">
        <f>IF(Tilmeldingsoversigt!$D$7="x",Morgenmad," ")</f>
        <v>Morgenmad</v>
      </c>
      <c r="E685" s="67">
        <f ca="1">IF(D685=Morgenmad,Tilmeldingsoversigt!$C$15," ")</f>
        <v>16.754098360655739</v>
      </c>
      <c r="F685" s="136" t="str">
        <f>IF(Tilmeldingsoversigt!$E$7="x",Morgenmad," ")</f>
        <v>Morgenmad</v>
      </c>
      <c r="G685" s="67">
        <f ca="1">IF(F685=Morgenmad,Tilmeldingsoversigt!$C$15," ")</f>
        <v>16.754098360655739</v>
      </c>
      <c r="H685" s="136" t="str">
        <f>IF(Tilmeldingsoversigt!$F$7="x",Morgenmad," ")</f>
        <v>Morgenmad</v>
      </c>
      <c r="I685" s="67">
        <f ca="1">IF(H685=Morgenmad,Tilmeldingsoversigt!$C$15," ")</f>
        <v>16.754098360655739</v>
      </c>
      <c r="J685" s="136" t="str">
        <f>IF(Tilmeldingsoversigt!$G$7="x",Morgenmad," ")</f>
        <v>Morgenmad</v>
      </c>
      <c r="K685" s="67">
        <f ca="1">IF(J685=Morgenmad,Tilmeldingsoversigt!$C$15," ")</f>
        <v>16.754098360655739</v>
      </c>
      <c r="L685" s="136" t="str">
        <f>IF(Tilmeldingsoversigt!$H$7="x",Morgenmad," ")</f>
        <v>Morgenmad</v>
      </c>
      <c r="M685" s="67">
        <f ca="1">IF(L685=Morgenmad,Tilmeldingsoversigt!$C$15," ")</f>
        <v>16.754098360655739</v>
      </c>
      <c r="N685" s="136" t="str">
        <f>IF(Tilmeldingsoversigt!$I$7="x",Morgenmad," ")</f>
        <v>Morgenmad</v>
      </c>
      <c r="O685" s="83">
        <f ca="1">IF(N685=Morgenmad,Tilmeldingsoversigt!$C$15," ")</f>
        <v>16.754098360655739</v>
      </c>
      <c r="P685" s="66"/>
    </row>
    <row r="686" spans="2:16" x14ac:dyDescent="0.25">
      <c r="B686" s="68" t="str">
        <f>IF(Tilmeldingsoversigt!$C$8="x",hovedret," ")</f>
        <v>Hovedret</v>
      </c>
      <c r="C686" s="69">
        <f ca="1">IF(B686=hovedret,Tilmeldingsoversigt!$C$16," ")</f>
        <v>55.016393442622949</v>
      </c>
      <c r="D686" s="68" t="str">
        <f>IF(Tilmeldingsoversigt!$D$8="x",hovedret," ")</f>
        <v>Hovedret</v>
      </c>
      <c r="E686" s="69">
        <f ca="1">IF(D686=hovedret,Tilmeldingsoversigt!$C$16," ")</f>
        <v>55.016393442622949</v>
      </c>
      <c r="F686" s="68" t="str">
        <f>IF(Tilmeldingsoversigt!$E$8="x",hovedret," ")</f>
        <v>Hovedret</v>
      </c>
      <c r="G686" s="69">
        <f ca="1">IF(F686=hovedret,Tilmeldingsoversigt!$C$16," ")</f>
        <v>55.016393442622949</v>
      </c>
      <c r="H686" s="68" t="str">
        <f>IF(Tilmeldingsoversigt!$F$8="x",hovedret," ")</f>
        <v>Hovedret</v>
      </c>
      <c r="I686" s="69">
        <f ca="1">IF(H686=hovedret,Tilmeldingsoversigt!$C$16," ")</f>
        <v>55.016393442622949</v>
      </c>
      <c r="J686" s="68" t="str">
        <f>IF(Tilmeldingsoversigt!$G$8="x",hovedret," ")</f>
        <v>Hovedret</v>
      </c>
      <c r="K686" s="69">
        <f ca="1">IF(J686=hovedret,Tilmeldingsoversigt!$C$16," ")</f>
        <v>55.016393442622949</v>
      </c>
      <c r="L686" s="68" t="str">
        <f>IF(Tilmeldingsoversigt!$H$8="x",hovedret," ")</f>
        <v>Hovedret</v>
      </c>
      <c r="M686" s="69">
        <f ca="1">IF(L686=hovedret,Tilmeldingsoversigt!$C$16," ")</f>
        <v>55.016393442622949</v>
      </c>
      <c r="N686" s="68" t="str">
        <f>IF(Tilmeldingsoversigt!$I$8="x",hovedret," ")</f>
        <v>Hovedret</v>
      </c>
      <c r="O686" s="70">
        <f ca="1">IF(N686=hovedret,Tilmeldingsoversigt!$C$16," ")</f>
        <v>55.016393442622949</v>
      </c>
      <c r="P686" s="66"/>
    </row>
    <row r="687" spans="2:16" x14ac:dyDescent="0.25">
      <c r="B687" s="68" t="str">
        <f>IF(Tilmeldingsoversigt!$C$9="x",Aftensmad," ")</f>
        <v>Aftensmad</v>
      </c>
      <c r="C687" s="69">
        <f ca="1">IF(B687=Aftensmad,Tilmeldingsoversigt!$C$17," ")</f>
        <v>27.540983606557376</v>
      </c>
      <c r="D687" s="68" t="str">
        <f>IF(Tilmeldingsoversigt!$D$9="x",Aftensmad," ")</f>
        <v>Aftensmad</v>
      </c>
      <c r="E687" s="69">
        <f ca="1">IF(D687=Aftensmad,Tilmeldingsoversigt!$C$17," ")</f>
        <v>27.540983606557376</v>
      </c>
      <c r="F687" s="68" t="str">
        <f>IF(Tilmeldingsoversigt!$E$9="x",Aftensmad," ")</f>
        <v>Aftensmad</v>
      </c>
      <c r="G687" s="69">
        <f ca="1">IF(F687=Aftensmad,Tilmeldingsoversigt!$C$17," ")</f>
        <v>27.540983606557376</v>
      </c>
      <c r="H687" s="68" t="str">
        <f>IF(Tilmeldingsoversigt!$F$9="x",Aftensmad," ")</f>
        <v>Aftensmad</v>
      </c>
      <c r="I687" s="69">
        <f ca="1">IF(H687=Aftensmad,Tilmeldingsoversigt!$C$17," ")</f>
        <v>27.540983606557376</v>
      </c>
      <c r="J687" s="68" t="str">
        <f>IF(Tilmeldingsoversigt!$G$9="x",Aftensmad," ")</f>
        <v>Aftensmad</v>
      </c>
      <c r="K687" s="69">
        <f ca="1">IF(J687=Aftensmad,Tilmeldingsoversigt!$C$17," ")</f>
        <v>27.540983606557376</v>
      </c>
      <c r="L687" s="68" t="str">
        <f>IF(Tilmeldingsoversigt!$H$9="x",Aftensmad," ")</f>
        <v>Aftensmad</v>
      </c>
      <c r="M687" s="69">
        <f ca="1">IF(L687=Aftensmad,Tilmeldingsoversigt!$C$17," ")</f>
        <v>27.540983606557376</v>
      </c>
      <c r="N687" s="68" t="str">
        <f>IF(Tilmeldingsoversigt!$I$9="x",Aftensmad," ")</f>
        <v>Aftensmad</v>
      </c>
      <c r="O687" s="70">
        <f ca="1">IF(N687=Aftensmad,Tilmeldingsoversigt!$C$17," ")</f>
        <v>27.540983606557376</v>
      </c>
      <c r="P687" s="66"/>
    </row>
    <row r="688" spans="2:16" x14ac:dyDescent="0.25">
      <c r="B688" s="68" t="str">
        <f>IF(Tilmeldingsoversigt!$C$10="x",biret," ")</f>
        <v>Biret</v>
      </c>
      <c r="C688" s="69">
        <f>IF(B688=biret,biretpris," ")</f>
        <v>0</v>
      </c>
      <c r="D688" s="68" t="str">
        <f>IF(Tilmeldingsoversigt!$D$10="x",biret," ")</f>
        <v>Biret</v>
      </c>
      <c r="E688" s="69">
        <f>IF(D688=biret,biretpris," ")</f>
        <v>0</v>
      </c>
      <c r="F688" s="68" t="str">
        <f>IF(Tilmeldingsoversigt!$E$10="x",biret," ")</f>
        <v>Biret</v>
      </c>
      <c r="G688" s="69">
        <f>IF(F688=biret,biretpris," ")</f>
        <v>0</v>
      </c>
      <c r="H688" s="68" t="str">
        <f>IF(Tilmeldingsoversigt!$F$10="x",biret," ")</f>
        <v>Biret</v>
      </c>
      <c r="I688" s="69">
        <f>IF(H688=biret,biretpris," ")</f>
        <v>0</v>
      </c>
      <c r="J688" s="68" t="str">
        <f>IF(Tilmeldingsoversigt!$G$10="x",biret," ")</f>
        <v>Biret</v>
      </c>
      <c r="K688" s="69">
        <f>IF(J688=biret,biretpris," ")</f>
        <v>0</v>
      </c>
      <c r="L688" s="68" t="str">
        <f>IF(Tilmeldingsoversigt!$H$10="x",biret," ")</f>
        <v>Biret</v>
      </c>
      <c r="M688" s="69">
        <f>IF(L688=biret,biretpris," ")</f>
        <v>0</v>
      </c>
      <c r="N688" s="68" t="str">
        <f>IF(Tilmeldingsoversigt!$I$10="x",biret," ")</f>
        <v>Biret</v>
      </c>
      <c r="O688" s="70">
        <f>IF(N688=biret,biretpris," ")</f>
        <v>0</v>
      </c>
      <c r="P688" s="66"/>
    </row>
    <row r="689" spans="2:16" x14ac:dyDescent="0.25">
      <c r="B689" s="71" t="str">
        <f>IF(Tilmeldingsoversigt!$C$11="x",mellemmåltid," ")</f>
        <v xml:space="preserve"> </v>
      </c>
      <c r="C689" s="72" t="str">
        <f>IF(B689=mellemmåltid,mellemmåltidspris," ")</f>
        <v xml:space="preserve"> </v>
      </c>
      <c r="D689" s="71" t="str">
        <f>IF(Tilmeldingsoversigt!$C$11="x",mellemmåltid," ")</f>
        <v xml:space="preserve"> </v>
      </c>
      <c r="E689" s="72" t="str">
        <f>IF(D689=mellemmåltid,mellemmåltidspris," ")</f>
        <v xml:space="preserve"> </v>
      </c>
      <c r="F689" s="71" t="str">
        <f>IF(Tilmeldingsoversigt!$C$11="x",mellemmåltid," ")</f>
        <v xml:space="preserve"> </v>
      </c>
      <c r="G689" s="72" t="str">
        <f>IF(F689=mellemmåltid,mellemmåltidspris," ")</f>
        <v xml:space="preserve"> </v>
      </c>
      <c r="H689" s="71" t="str">
        <f>IF(Tilmeldingsoversigt!$C$11="x",mellemmåltid," ")</f>
        <v xml:space="preserve"> </v>
      </c>
      <c r="I689" s="72" t="str">
        <f>IF(H689=mellemmåltid,mellemmåltidspris," ")</f>
        <v xml:space="preserve"> </v>
      </c>
      <c r="J689" s="71" t="str">
        <f>IF(Tilmeldingsoversigt!$C$11="x",mellemmåltid," ")</f>
        <v xml:space="preserve"> </v>
      </c>
      <c r="K689" s="72" t="str">
        <f>IF(J689=mellemmåltid,mellemmåltidspris," ")</f>
        <v xml:space="preserve"> </v>
      </c>
      <c r="L689" s="71" t="str">
        <f>IF(Tilmeldingsoversigt!$C$11="x",mellemmåltid," ")</f>
        <v xml:space="preserve"> </v>
      </c>
      <c r="M689" s="72" t="str">
        <f>IF(L689=mellemmåltid,mellemmåltidspris," ")</f>
        <v xml:space="preserve"> </v>
      </c>
      <c r="N689" s="71" t="str">
        <f>IF(Tilmeldingsoversigt!$C$11="x",mellemmåltid," ")</f>
        <v xml:space="preserve"> </v>
      </c>
      <c r="O689" s="73" t="str">
        <f>IF(N689=mellemmåltid,mellemmåltidspris," ")</f>
        <v xml:space="preserve"> </v>
      </c>
      <c r="P689" s="66"/>
    </row>
    <row r="690" spans="2:16" x14ac:dyDescent="0.25">
      <c r="B690" s="74" t="s">
        <v>44</v>
      </c>
      <c r="C690" s="11">
        <f ca="1">SUM(C685:C689)</f>
        <v>99.311475409836063</v>
      </c>
      <c r="D690" s="74"/>
      <c r="E690" s="11">
        <f ca="1">SUM(E685:E689)</f>
        <v>99.311475409836063</v>
      </c>
      <c r="F690" s="74"/>
      <c r="G690" s="11">
        <f ca="1">SUM(G685:G689)</f>
        <v>99.311475409836063</v>
      </c>
      <c r="H690" s="74"/>
      <c r="I690" s="11">
        <f ca="1">SUM(I685:I689)</f>
        <v>99.311475409836063</v>
      </c>
      <c r="J690" s="74"/>
      <c r="K690" s="11">
        <f ca="1">SUM(K685:K689)</f>
        <v>99.311475409836063</v>
      </c>
      <c r="L690" s="74"/>
      <c r="M690" s="11">
        <f ca="1">SUM(M685:M689)</f>
        <v>99.311475409836063</v>
      </c>
      <c r="N690" s="74"/>
      <c r="O690" s="12">
        <f ca="1">SUM(O685:O689)</f>
        <v>99.311475409836063</v>
      </c>
      <c r="P690" s="75">
        <f ca="1">SUM(C690,E690,G690,I690,K690,M690,O690)</f>
        <v>695.18032786885237</v>
      </c>
    </row>
    <row r="691" spans="2:16" x14ac:dyDescent="0.2">
      <c r="B691" s="76"/>
      <c r="C691" s="77"/>
      <c r="D691" s="77"/>
      <c r="E691" s="77"/>
      <c r="F691" s="77"/>
      <c r="G691" s="77"/>
      <c r="H691" s="77"/>
      <c r="I691" s="77"/>
      <c r="J691" s="77"/>
      <c r="K691" s="77"/>
      <c r="L691" s="77"/>
      <c r="M691" s="77"/>
      <c r="N691" s="77"/>
      <c r="O691" s="77"/>
      <c r="P691" s="76"/>
    </row>
    <row r="692" spans="2:16" ht="12.75" x14ac:dyDescent="0.25">
      <c r="B692" s="78">
        <f>DAY(IF(DAY(DecSøn1)=1,DecSøn1+22,DecSøn1+29))</f>
        <v>23</v>
      </c>
      <c r="C692" s="79"/>
      <c r="D692" s="78">
        <f>DAY(IF(DAY(DecSøn1)=1,DecSøn1+23,DecSøn1+30))</f>
        <v>24</v>
      </c>
      <c r="E692" s="79"/>
      <c r="F692" s="78">
        <f>DAY(IF(DAY(DecSøn1)=1,DecSøn1+24,DecSøn1+31))</f>
        <v>25</v>
      </c>
      <c r="G692" s="79"/>
      <c r="H692" s="78">
        <f>DAY(IF(DAY(DecSøn1)=1,DecSøn1+25,DecSøn1+32))</f>
        <v>26</v>
      </c>
      <c r="I692" s="79"/>
      <c r="J692" s="78">
        <f>DAY(IF(DAY(DecSøn1)=1,DecSøn1+26,DecSøn1+33))</f>
        <v>27</v>
      </c>
      <c r="K692" s="79"/>
      <c r="L692" s="78">
        <f>DAY(IF(DAY(DecSøn1)=1,DecSøn1+27,DecSøn1+34))</f>
        <v>28</v>
      </c>
      <c r="M692" s="79"/>
      <c r="N692" s="78">
        <f>DAY(IF(DAY(DecSøn1)=1,DecSøn1+28,DecSøn1+35))</f>
        <v>29</v>
      </c>
      <c r="O692" s="79"/>
      <c r="P692" s="85"/>
    </row>
    <row r="693" spans="2:16" x14ac:dyDescent="0.25">
      <c r="B693" s="64" t="s">
        <v>42</v>
      </c>
      <c r="C693" s="81" t="s">
        <v>43</v>
      </c>
      <c r="D693" s="64" t="s">
        <v>42</v>
      </c>
      <c r="E693" s="81" t="s">
        <v>43</v>
      </c>
      <c r="F693" s="64" t="s">
        <v>42</v>
      </c>
      <c r="G693" s="81" t="s">
        <v>43</v>
      </c>
      <c r="H693" s="64" t="s">
        <v>42</v>
      </c>
      <c r="I693" s="81" t="s">
        <v>43</v>
      </c>
      <c r="J693" s="64" t="s">
        <v>42</v>
      </c>
      <c r="K693" s="81" t="s">
        <v>43</v>
      </c>
      <c r="L693" s="64" t="s">
        <v>42</v>
      </c>
      <c r="M693" s="81" t="s">
        <v>43</v>
      </c>
      <c r="N693" s="64" t="s">
        <v>42</v>
      </c>
      <c r="O693" s="82" t="s">
        <v>43</v>
      </c>
      <c r="P693" s="66"/>
    </row>
    <row r="694" spans="2:16" x14ac:dyDescent="0.25">
      <c r="B694" s="136" t="str">
        <f>IF(Tilmeldingsoversigt!$C$7="x",Morgenmad," ")</f>
        <v>Morgenmad</v>
      </c>
      <c r="C694" s="67">
        <f ca="1">IF(B694=Morgenmad,Tilmeldingsoversigt!$C$15," ")</f>
        <v>16.754098360655739</v>
      </c>
      <c r="D694" s="136" t="str">
        <f>IF(Tilmeldingsoversigt!$D$7="x",Morgenmad," ")</f>
        <v>Morgenmad</v>
      </c>
      <c r="E694" s="67">
        <f ca="1">IF(D694=Morgenmad,Tilmeldingsoversigt!$C$15," ")</f>
        <v>16.754098360655739</v>
      </c>
      <c r="F694" s="136" t="str">
        <f>IF(Tilmeldingsoversigt!$E$7="x",Morgenmad," ")</f>
        <v>Morgenmad</v>
      </c>
      <c r="G694" s="67">
        <f ca="1">IF(F694=Morgenmad,Tilmeldingsoversigt!$C$15," ")</f>
        <v>16.754098360655739</v>
      </c>
      <c r="H694" s="136" t="str">
        <f>IF(Tilmeldingsoversigt!$F$7="x",Morgenmad," ")</f>
        <v>Morgenmad</v>
      </c>
      <c r="I694" s="67">
        <f ca="1">IF(H694=Morgenmad,Tilmeldingsoversigt!$C$15," ")</f>
        <v>16.754098360655739</v>
      </c>
      <c r="J694" s="136" t="str">
        <f>IF(Tilmeldingsoversigt!$G$7="x",Morgenmad," ")</f>
        <v>Morgenmad</v>
      </c>
      <c r="K694" s="67">
        <f ca="1">IF(J694=Morgenmad,Tilmeldingsoversigt!$C$15," ")</f>
        <v>16.754098360655739</v>
      </c>
      <c r="L694" s="136" t="str">
        <f>IF(Tilmeldingsoversigt!$H$7="x",Morgenmad," ")</f>
        <v>Morgenmad</v>
      </c>
      <c r="M694" s="67">
        <f ca="1">IF(L694=Morgenmad,Tilmeldingsoversigt!$C$15," ")</f>
        <v>16.754098360655739</v>
      </c>
      <c r="N694" s="139"/>
      <c r="O694" s="86"/>
      <c r="P694" s="66"/>
    </row>
    <row r="695" spans="2:16" x14ac:dyDescent="0.25">
      <c r="B695" s="68" t="str">
        <f>IF(Tilmeldingsoversigt!$C$8="x",hovedret," ")</f>
        <v>Hovedret</v>
      </c>
      <c r="C695" s="69">
        <f ca="1">IF(B695=hovedret,Tilmeldingsoversigt!$C$16," ")</f>
        <v>55.016393442622949</v>
      </c>
      <c r="D695" s="68" t="str">
        <f>IF(Tilmeldingsoversigt!$D$8="x",hovedret," ")</f>
        <v>Hovedret</v>
      </c>
      <c r="E695" s="69">
        <f ca="1">IF(D695=hovedret,Tilmeldingsoversigt!$C$16," ")</f>
        <v>55.016393442622949</v>
      </c>
      <c r="F695" s="68" t="str">
        <f>IF(Tilmeldingsoversigt!$E$8="x",hovedret," ")</f>
        <v>Hovedret</v>
      </c>
      <c r="G695" s="69">
        <f ca="1">IF(F695=hovedret,Tilmeldingsoversigt!$C$16," ")</f>
        <v>55.016393442622949</v>
      </c>
      <c r="H695" s="68" t="str">
        <f>IF(Tilmeldingsoversigt!$F$8="x",hovedret," ")</f>
        <v>Hovedret</v>
      </c>
      <c r="I695" s="69">
        <f ca="1">IF(H695=hovedret,Tilmeldingsoversigt!$C$16," ")</f>
        <v>55.016393442622949</v>
      </c>
      <c r="J695" s="68" t="str">
        <f>IF(Tilmeldingsoversigt!$G$8="x",hovedret," ")</f>
        <v>Hovedret</v>
      </c>
      <c r="K695" s="69">
        <f ca="1">IF(J695=hovedret,Tilmeldingsoversigt!$C$16," ")</f>
        <v>55.016393442622949</v>
      </c>
      <c r="L695" s="68" t="str">
        <f>IF(Tilmeldingsoversigt!$H$8="x",hovedret," ")</f>
        <v>Hovedret</v>
      </c>
      <c r="M695" s="69">
        <f ca="1">IF(L695=hovedret,Tilmeldingsoversigt!$C$16," ")</f>
        <v>55.016393442622949</v>
      </c>
      <c r="N695" s="87"/>
      <c r="O695" s="88"/>
      <c r="P695" s="66"/>
    </row>
    <row r="696" spans="2:16" x14ac:dyDescent="0.25">
      <c r="B696" s="68" t="str">
        <f>IF(Tilmeldingsoversigt!$C$9="x",Aftensmad," ")</f>
        <v>Aftensmad</v>
      </c>
      <c r="C696" s="69">
        <f ca="1">IF(B696=Aftensmad,Tilmeldingsoversigt!$C$17," ")</f>
        <v>27.540983606557376</v>
      </c>
      <c r="D696" s="68" t="str">
        <f>IF(Tilmeldingsoversigt!$D$9="x",Aftensmad," ")</f>
        <v>Aftensmad</v>
      </c>
      <c r="E696" s="69">
        <f ca="1">IF(D696=Aftensmad,Tilmeldingsoversigt!$C$17," ")</f>
        <v>27.540983606557376</v>
      </c>
      <c r="F696" s="68" t="str">
        <f>IF(Tilmeldingsoversigt!$E$9="x",Aftensmad," ")</f>
        <v>Aftensmad</v>
      </c>
      <c r="G696" s="69">
        <f ca="1">IF(F696=Aftensmad,Tilmeldingsoversigt!$C$17," ")</f>
        <v>27.540983606557376</v>
      </c>
      <c r="H696" s="68" t="str">
        <f>IF(Tilmeldingsoversigt!$F$9="x",Aftensmad," ")</f>
        <v>Aftensmad</v>
      </c>
      <c r="I696" s="69">
        <f ca="1">IF(H696=Aftensmad,Tilmeldingsoversigt!$C$17," ")</f>
        <v>27.540983606557376</v>
      </c>
      <c r="J696" s="68" t="str">
        <f>IF(Tilmeldingsoversigt!$G$9="x",Aftensmad," ")</f>
        <v>Aftensmad</v>
      </c>
      <c r="K696" s="69">
        <f ca="1">IF(J696=Aftensmad,Tilmeldingsoversigt!$C$17," ")</f>
        <v>27.540983606557376</v>
      </c>
      <c r="L696" s="68" t="str">
        <f>IF(Tilmeldingsoversigt!$H$9="x",Aftensmad," ")</f>
        <v>Aftensmad</v>
      </c>
      <c r="M696" s="69">
        <f ca="1">IF(L696=Aftensmad,Tilmeldingsoversigt!$C$17," ")</f>
        <v>27.540983606557376</v>
      </c>
      <c r="N696" s="87"/>
      <c r="O696" s="88"/>
      <c r="P696" s="66"/>
    </row>
    <row r="697" spans="2:16" x14ac:dyDescent="0.25">
      <c r="B697" s="68" t="str">
        <f>IF(Tilmeldingsoversigt!$C$10="x",biret," ")</f>
        <v>Biret</v>
      </c>
      <c r="C697" s="69">
        <f>IF(B697=biret,biretpris," ")</f>
        <v>0</v>
      </c>
      <c r="D697" s="68" t="str">
        <f>IF(Tilmeldingsoversigt!$D$10="x",biret," ")</f>
        <v>Biret</v>
      </c>
      <c r="E697" s="69">
        <f>IF(D697=biret,biretpris," ")</f>
        <v>0</v>
      </c>
      <c r="F697" s="68" t="str">
        <f>IF(Tilmeldingsoversigt!$E$10="x",biret," ")</f>
        <v>Biret</v>
      </c>
      <c r="G697" s="69">
        <f>IF(F697=biret,biretpris," ")</f>
        <v>0</v>
      </c>
      <c r="H697" s="68" t="str">
        <f>IF(Tilmeldingsoversigt!$F$10="x",biret," ")</f>
        <v>Biret</v>
      </c>
      <c r="I697" s="69">
        <f>IF(H697=biret,biretpris," ")</f>
        <v>0</v>
      </c>
      <c r="J697" s="68" t="str">
        <f>IF(Tilmeldingsoversigt!$G$10="x",biret," ")</f>
        <v>Biret</v>
      </c>
      <c r="K697" s="69">
        <f>IF(J697=biret,biretpris," ")</f>
        <v>0</v>
      </c>
      <c r="L697" s="68" t="str">
        <f>IF(Tilmeldingsoversigt!$H$10="x",biret," ")</f>
        <v>Biret</v>
      </c>
      <c r="M697" s="69">
        <f>IF(L697=biret,biretpris," ")</f>
        <v>0</v>
      </c>
      <c r="N697" s="68"/>
      <c r="O697" s="70"/>
      <c r="P697" s="66"/>
    </row>
    <row r="698" spans="2:16" x14ac:dyDescent="0.25">
      <c r="B698" s="71" t="str">
        <f>IF(Tilmeldingsoversigt!$C$11="x",mellemmåltid," ")</f>
        <v xml:space="preserve"> </v>
      </c>
      <c r="C698" s="72" t="str">
        <f>IF(B698=mellemmåltid,mellemmåltidspris," ")</f>
        <v xml:space="preserve"> </v>
      </c>
      <c r="D698" s="71" t="str">
        <f>IF(Tilmeldingsoversigt!$C$11="x",mellemmåltid," ")</f>
        <v xml:space="preserve"> </v>
      </c>
      <c r="E698" s="72" t="str">
        <f>IF(D698=mellemmåltid,mellemmåltidspris," ")</f>
        <v xml:space="preserve"> </v>
      </c>
      <c r="F698" s="71" t="str">
        <f>IF(Tilmeldingsoversigt!$C$11="x",mellemmåltid," ")</f>
        <v xml:space="preserve"> </v>
      </c>
      <c r="G698" s="72" t="str">
        <f>IF(F698=mellemmåltid,mellemmåltidspris," ")</f>
        <v xml:space="preserve"> </v>
      </c>
      <c r="H698" s="71" t="str">
        <f>IF(Tilmeldingsoversigt!$C$11="x",mellemmåltid," ")</f>
        <v xml:space="preserve"> </v>
      </c>
      <c r="I698" s="72" t="str">
        <f>IF(H698=mellemmåltid,mellemmåltidspris," ")</f>
        <v xml:space="preserve"> </v>
      </c>
      <c r="J698" s="71" t="str">
        <f>IF(Tilmeldingsoversigt!$C$11="x",mellemmåltid," ")</f>
        <v xml:space="preserve"> </v>
      </c>
      <c r="K698" s="72" t="str">
        <f>IF(J698=mellemmåltid,mellemmåltidspris," ")</f>
        <v xml:space="preserve"> </v>
      </c>
      <c r="L698" s="71" t="str">
        <f>IF(Tilmeldingsoversigt!$C$11="x",mellemmåltid," ")</f>
        <v xml:space="preserve"> </v>
      </c>
      <c r="M698" s="72" t="str">
        <f>IF(L698=mellemmåltid,mellemmåltidspris," ")</f>
        <v xml:space="preserve"> </v>
      </c>
      <c r="N698" s="71"/>
      <c r="O698" s="73"/>
      <c r="P698" s="66"/>
    </row>
    <row r="699" spans="2:16" x14ac:dyDescent="0.25">
      <c r="B699" s="74" t="s">
        <v>44</v>
      </c>
      <c r="C699" s="11">
        <f ca="1">SUM(C694:C698)</f>
        <v>99.311475409836063</v>
      </c>
      <c r="D699" s="74"/>
      <c r="E699" s="11">
        <f ca="1">SUM(E694:E698)</f>
        <v>99.311475409836063</v>
      </c>
      <c r="F699" s="74"/>
      <c r="G699" s="11">
        <f ca="1">SUM(G694:G698)</f>
        <v>99.311475409836063</v>
      </c>
      <c r="H699" s="74"/>
      <c r="I699" s="11">
        <f ca="1">SUM(I694:I698)</f>
        <v>99.311475409836063</v>
      </c>
      <c r="J699" s="74"/>
      <c r="K699" s="11">
        <f ca="1">SUM(K694:K698)</f>
        <v>99.311475409836063</v>
      </c>
      <c r="L699" s="74"/>
      <c r="M699" s="11">
        <f ca="1">SUM(M694:M698)</f>
        <v>99.311475409836063</v>
      </c>
      <c r="N699" s="74"/>
      <c r="O699" s="12">
        <f>SUM(O694:O698)</f>
        <v>0</v>
      </c>
      <c r="P699" s="75">
        <f ca="1">SUMIF(B692:N692,"&gt;="&amp;15,C699:O699)</f>
        <v>595.86885245901635</v>
      </c>
    </row>
    <row r="700" spans="2:16" x14ac:dyDescent="0.2">
      <c r="B700" s="76"/>
      <c r="C700" s="77"/>
      <c r="D700" s="77"/>
      <c r="E700" s="77"/>
      <c r="F700" s="77"/>
      <c r="G700" s="77"/>
      <c r="H700" s="77"/>
      <c r="I700" s="77"/>
      <c r="J700" s="77"/>
      <c r="K700" s="77"/>
      <c r="L700" s="77"/>
      <c r="M700" s="77"/>
      <c r="N700" s="77"/>
      <c r="O700" s="77"/>
      <c r="P700" s="76"/>
    </row>
    <row r="701" spans="2:16" ht="12.75" hidden="1" x14ac:dyDescent="0.25">
      <c r="B701" s="78">
        <f>DAY(IF(DAY(DecSøn1)=1,DecSøn1+29,DecSøn1+36))</f>
        <v>30</v>
      </c>
      <c r="C701" s="91"/>
      <c r="D701" s="78">
        <f>DAY(IF(DAY(DecSøn1)=1,DecSøn1+30,DecSøn1+37))</f>
        <v>31</v>
      </c>
      <c r="E701" s="79"/>
      <c r="F701" s="92">
        <f>DAY(IF(DAY(DecSøn1)=1,DecSøn1+31,DecSøn1+38))</f>
        <v>1</v>
      </c>
      <c r="G701" s="79"/>
      <c r="H701" s="78">
        <f>DAY(IF(DAY(DecSøn1)=1,DecSøn1+32,DecSøn1+39))</f>
        <v>2</v>
      </c>
      <c r="I701" s="79"/>
      <c r="J701" s="78">
        <f>DAY(IF(DAY(DecSøn1)=1,DecSøn1+33,DecSøn1+40))</f>
        <v>3</v>
      </c>
      <c r="K701" s="79"/>
      <c r="L701" s="78">
        <f>DAY(IF(DAY(DecSøn1)=1,DecSøn1+34,DecSøn1+41))</f>
        <v>4</v>
      </c>
      <c r="M701" s="79"/>
      <c r="N701" s="78">
        <f>DAY(IF(DAY(DecSøn1)=1,DecSøn1+35,DecSøn1+42))</f>
        <v>5</v>
      </c>
      <c r="O701" s="79"/>
      <c r="P701" s="85"/>
    </row>
    <row r="702" spans="2:16" hidden="1" x14ac:dyDescent="0.25">
      <c r="B702" s="64" t="s">
        <v>42</v>
      </c>
      <c r="C702" s="81" t="s">
        <v>43</v>
      </c>
      <c r="D702" s="64" t="s">
        <v>42</v>
      </c>
      <c r="E702" s="81" t="s">
        <v>43</v>
      </c>
      <c r="F702" s="64" t="s">
        <v>42</v>
      </c>
      <c r="G702" s="81" t="s">
        <v>43</v>
      </c>
      <c r="H702" s="64" t="s">
        <v>42</v>
      </c>
      <c r="I702" s="81" t="s">
        <v>43</v>
      </c>
      <c r="J702" s="64" t="s">
        <v>42</v>
      </c>
      <c r="K702" s="81" t="s">
        <v>43</v>
      </c>
      <c r="L702" s="64" t="s">
        <v>42</v>
      </c>
      <c r="M702" s="81" t="s">
        <v>43</v>
      </c>
      <c r="N702" s="64" t="s">
        <v>42</v>
      </c>
      <c r="O702" s="82" t="s">
        <v>43</v>
      </c>
      <c r="P702" s="66"/>
    </row>
    <row r="703" spans="2:16" hidden="1" x14ac:dyDescent="0.25">
      <c r="B703" s="136"/>
      <c r="C703" s="67"/>
      <c r="D703" s="136"/>
      <c r="E703" s="67"/>
      <c r="F703" s="136"/>
      <c r="G703" s="67"/>
      <c r="H703" s="136"/>
      <c r="I703" s="67"/>
      <c r="J703" s="136"/>
      <c r="K703" s="67"/>
      <c r="L703" s="136"/>
      <c r="M703" s="67"/>
      <c r="N703" s="136"/>
      <c r="O703" s="83" t="str">
        <f>IF(N703=Morgenmad,Tilmeldingsoversigt!$C$15," ")</f>
        <v xml:space="preserve"> </v>
      </c>
      <c r="P703" s="66"/>
    </row>
    <row r="704" spans="2:16" hidden="1" x14ac:dyDescent="0.25">
      <c r="B704" s="68"/>
      <c r="C704" s="69"/>
      <c r="D704" s="68"/>
      <c r="E704" s="69"/>
      <c r="F704" s="68"/>
      <c r="G704" s="69"/>
      <c r="H704" s="68"/>
      <c r="I704" s="69"/>
      <c r="J704" s="68"/>
      <c r="K704" s="69"/>
      <c r="L704" s="68"/>
      <c r="M704" s="69"/>
      <c r="N704" s="68"/>
      <c r="O704" s="70" t="str">
        <f>IF(N704=hovedret,Tilmeldingsoversigt!$C$16," ")</f>
        <v xml:space="preserve"> </v>
      </c>
      <c r="P704" s="66"/>
    </row>
    <row r="705" spans="2:16" hidden="1" x14ac:dyDescent="0.25">
      <c r="B705" s="68"/>
      <c r="C705" s="69"/>
      <c r="D705" s="68"/>
      <c r="E705" s="69"/>
      <c r="F705" s="68"/>
      <c r="G705" s="69"/>
      <c r="H705" s="68"/>
      <c r="I705" s="69"/>
      <c r="J705" s="68"/>
      <c r="K705" s="69"/>
      <c r="L705" s="68"/>
      <c r="M705" s="69"/>
      <c r="N705" s="68"/>
      <c r="O705" s="70" t="str">
        <f>IF(N705=Aftensmad,Tilmeldingsoversigt!$C$17," ")</f>
        <v xml:space="preserve"> </v>
      </c>
      <c r="P705" s="66"/>
    </row>
    <row r="706" spans="2:16" hidden="1" x14ac:dyDescent="0.25">
      <c r="B706" s="68"/>
      <c r="C706" s="69"/>
      <c r="D706" s="68"/>
      <c r="E706" s="69"/>
      <c r="F706" s="68"/>
      <c r="G706" s="69"/>
      <c r="H706" s="68"/>
      <c r="I706" s="69"/>
      <c r="J706" s="68"/>
      <c r="K706" s="69"/>
      <c r="L706" s="68"/>
      <c r="M706" s="69"/>
      <c r="N706" s="68"/>
      <c r="O706" s="70"/>
      <c r="P706" s="66"/>
    </row>
    <row r="707" spans="2:16" hidden="1" x14ac:dyDescent="0.25">
      <c r="B707" s="71"/>
      <c r="C707" s="72"/>
      <c r="D707" s="71"/>
      <c r="E707" s="72"/>
      <c r="F707" s="71"/>
      <c r="G707" s="72"/>
      <c r="H707" s="71"/>
      <c r="I707" s="72"/>
      <c r="J707" s="71"/>
      <c r="K707" s="72"/>
      <c r="L707" s="71"/>
      <c r="M707" s="72"/>
      <c r="N707" s="71"/>
      <c r="O707" s="73"/>
      <c r="P707" s="66"/>
    </row>
    <row r="708" spans="2:16" hidden="1" x14ac:dyDescent="0.25">
      <c r="B708" s="74" t="s">
        <v>44</v>
      </c>
      <c r="C708" s="11">
        <f>SUM(C703:C707)</f>
        <v>0</v>
      </c>
      <c r="D708" s="74"/>
      <c r="E708" s="11">
        <f>SUM(E703:E707)</f>
        <v>0</v>
      </c>
      <c r="F708" s="74"/>
      <c r="G708" s="11">
        <f>SUM(G703:G707)</f>
        <v>0</v>
      </c>
      <c r="H708" s="74"/>
      <c r="I708" s="11">
        <f>SUM(I703:I707)</f>
        <v>0</v>
      </c>
      <c r="J708" s="74"/>
      <c r="K708" s="11">
        <f>SUM(K703:K707)</f>
        <v>0</v>
      </c>
      <c r="L708" s="74"/>
      <c r="M708" s="11">
        <f>SUM(M703:M707)</f>
        <v>0</v>
      </c>
      <c r="N708" s="74"/>
      <c r="O708" s="12">
        <f>SUM(O703:O707)</f>
        <v>0</v>
      </c>
      <c r="P708" s="75">
        <f>SUMIF(B701:N701,"&gt;="&amp;15,C708:O708)</f>
        <v>0</v>
      </c>
    </row>
  </sheetData>
  <sheetProtection selectLockedCells="1"/>
  <mergeCells count="228">
    <mergeCell ref="L654:M654"/>
    <mergeCell ref="N654:O654"/>
    <mergeCell ref="B655:C655"/>
    <mergeCell ref="D655:E655"/>
    <mergeCell ref="F655:G655"/>
    <mergeCell ref="H655:I655"/>
    <mergeCell ref="B651:E652"/>
    <mergeCell ref="L651:M651"/>
    <mergeCell ref="N651:O651"/>
    <mergeCell ref="L652:M652"/>
    <mergeCell ref="N652:O652"/>
    <mergeCell ref="B654:C654"/>
    <mergeCell ref="D654:E654"/>
    <mergeCell ref="F654:G654"/>
    <mergeCell ref="H654:I654"/>
    <mergeCell ref="J654:K654"/>
    <mergeCell ref="J655:K655"/>
    <mergeCell ref="L655:M655"/>
    <mergeCell ref="N655:O655"/>
    <mergeCell ref="B596:C596"/>
    <mergeCell ref="H596:I596"/>
    <mergeCell ref="J596:K596"/>
    <mergeCell ref="L596:M596"/>
    <mergeCell ref="N596:O596"/>
    <mergeCell ref="B592:E593"/>
    <mergeCell ref="L592:M592"/>
    <mergeCell ref="N592:O592"/>
    <mergeCell ref="L593:M593"/>
    <mergeCell ref="N593:O593"/>
    <mergeCell ref="B595:C595"/>
    <mergeCell ref="D595:E595"/>
    <mergeCell ref="F595:G595"/>
    <mergeCell ref="H595:I595"/>
    <mergeCell ref="J595:K595"/>
    <mergeCell ref="B537:C537"/>
    <mergeCell ref="D537:E537"/>
    <mergeCell ref="F537:G537"/>
    <mergeCell ref="H537:I537"/>
    <mergeCell ref="J537:K537"/>
    <mergeCell ref="L537:M537"/>
    <mergeCell ref="N537:O537"/>
    <mergeCell ref="L595:M595"/>
    <mergeCell ref="N595:O595"/>
    <mergeCell ref="B533:E534"/>
    <mergeCell ref="L533:M533"/>
    <mergeCell ref="N533:O533"/>
    <mergeCell ref="L534:M534"/>
    <mergeCell ref="N534:O534"/>
    <mergeCell ref="B536:C536"/>
    <mergeCell ref="D536:E536"/>
    <mergeCell ref="F536:G536"/>
    <mergeCell ref="H536:I536"/>
    <mergeCell ref="J536:K536"/>
    <mergeCell ref="L536:M536"/>
    <mergeCell ref="N536:O536"/>
    <mergeCell ref="B477:C477"/>
    <mergeCell ref="D477:E477"/>
    <mergeCell ref="F477:G477"/>
    <mergeCell ref="H477:I477"/>
    <mergeCell ref="J477:K477"/>
    <mergeCell ref="L477:M477"/>
    <mergeCell ref="N477:O477"/>
    <mergeCell ref="B478:C478"/>
    <mergeCell ref="D478:E478"/>
    <mergeCell ref="F478:G478"/>
    <mergeCell ref="H478:I478"/>
    <mergeCell ref="J478:K478"/>
    <mergeCell ref="L478:M478"/>
    <mergeCell ref="N478:O478"/>
    <mergeCell ref="B419:C419"/>
    <mergeCell ref="D419:E419"/>
    <mergeCell ref="F419:G419"/>
    <mergeCell ref="H419:I419"/>
    <mergeCell ref="J419:K419"/>
    <mergeCell ref="L419:M419"/>
    <mergeCell ref="N419:O419"/>
    <mergeCell ref="B474:E475"/>
    <mergeCell ref="L474:M474"/>
    <mergeCell ref="N474:O474"/>
    <mergeCell ref="L475:M475"/>
    <mergeCell ref="N475:O475"/>
    <mergeCell ref="B415:E416"/>
    <mergeCell ref="L415:M415"/>
    <mergeCell ref="N415:O415"/>
    <mergeCell ref="L416:M416"/>
    <mergeCell ref="N416:O416"/>
    <mergeCell ref="B418:C418"/>
    <mergeCell ref="D418:E418"/>
    <mergeCell ref="F418:G418"/>
    <mergeCell ref="H418:I418"/>
    <mergeCell ref="J418:K418"/>
    <mergeCell ref="L418:M418"/>
    <mergeCell ref="N418:O418"/>
    <mergeCell ref="B359:C359"/>
    <mergeCell ref="D359:E359"/>
    <mergeCell ref="F359:G359"/>
    <mergeCell ref="H359:I359"/>
    <mergeCell ref="J359:K359"/>
    <mergeCell ref="L359:M359"/>
    <mergeCell ref="N359:O359"/>
    <mergeCell ref="B360:C360"/>
    <mergeCell ref="D360:E360"/>
    <mergeCell ref="F360:G360"/>
    <mergeCell ref="H360:I360"/>
    <mergeCell ref="J360:K360"/>
    <mergeCell ref="L360:M360"/>
    <mergeCell ref="N360:O360"/>
    <mergeCell ref="B301:C301"/>
    <mergeCell ref="D301:E301"/>
    <mergeCell ref="F301:G301"/>
    <mergeCell ref="H301:I301"/>
    <mergeCell ref="J301:K301"/>
    <mergeCell ref="L301:M301"/>
    <mergeCell ref="N301:O301"/>
    <mergeCell ref="B356:E357"/>
    <mergeCell ref="L356:M356"/>
    <mergeCell ref="N356:O356"/>
    <mergeCell ref="L357:M357"/>
    <mergeCell ref="N357:O357"/>
    <mergeCell ref="B297:E298"/>
    <mergeCell ref="L297:M297"/>
    <mergeCell ref="N297:O297"/>
    <mergeCell ref="L298:M298"/>
    <mergeCell ref="N298:O298"/>
    <mergeCell ref="B300:C300"/>
    <mergeCell ref="D300:E300"/>
    <mergeCell ref="F300:G300"/>
    <mergeCell ref="H300:I300"/>
    <mergeCell ref="J300:K300"/>
    <mergeCell ref="L300:M300"/>
    <mergeCell ref="N300:O300"/>
    <mergeCell ref="B241:C241"/>
    <mergeCell ref="D241:E241"/>
    <mergeCell ref="F241:G241"/>
    <mergeCell ref="H241:I241"/>
    <mergeCell ref="J241:K241"/>
    <mergeCell ref="L241:M241"/>
    <mergeCell ref="N241:O241"/>
    <mergeCell ref="B242:C242"/>
    <mergeCell ref="D242:E242"/>
    <mergeCell ref="F242:G242"/>
    <mergeCell ref="H242:I242"/>
    <mergeCell ref="J242:K242"/>
    <mergeCell ref="L242:M242"/>
    <mergeCell ref="N242:O242"/>
    <mergeCell ref="B183:C183"/>
    <mergeCell ref="D183:E183"/>
    <mergeCell ref="F183:G183"/>
    <mergeCell ref="H183:I183"/>
    <mergeCell ref="J183:K183"/>
    <mergeCell ref="L183:M183"/>
    <mergeCell ref="N183:O183"/>
    <mergeCell ref="B238:E239"/>
    <mergeCell ref="L238:M238"/>
    <mergeCell ref="N238:O238"/>
    <mergeCell ref="L239:M239"/>
    <mergeCell ref="N239:O239"/>
    <mergeCell ref="B179:E180"/>
    <mergeCell ref="L179:M179"/>
    <mergeCell ref="N179:O179"/>
    <mergeCell ref="L180:M180"/>
    <mergeCell ref="N180:O180"/>
    <mergeCell ref="B182:C182"/>
    <mergeCell ref="D182:E182"/>
    <mergeCell ref="F182:G182"/>
    <mergeCell ref="H182:I182"/>
    <mergeCell ref="J182:K182"/>
    <mergeCell ref="L182:M182"/>
    <mergeCell ref="N182:O182"/>
    <mergeCell ref="B123:C123"/>
    <mergeCell ref="D123:E123"/>
    <mergeCell ref="F123:G123"/>
    <mergeCell ref="H123:I123"/>
    <mergeCell ref="J123:K123"/>
    <mergeCell ref="L123:M123"/>
    <mergeCell ref="N123:O123"/>
    <mergeCell ref="B124:C124"/>
    <mergeCell ref="D124:E124"/>
    <mergeCell ref="F124:G124"/>
    <mergeCell ref="H124:I124"/>
    <mergeCell ref="J124:K124"/>
    <mergeCell ref="L124:M124"/>
    <mergeCell ref="N124:O124"/>
    <mergeCell ref="B65:C65"/>
    <mergeCell ref="D65:E65"/>
    <mergeCell ref="F65:G65"/>
    <mergeCell ref="H65:I65"/>
    <mergeCell ref="J65:K65"/>
    <mergeCell ref="L65:M65"/>
    <mergeCell ref="N65:O65"/>
    <mergeCell ref="B120:E121"/>
    <mergeCell ref="L120:M120"/>
    <mergeCell ref="N120:O120"/>
    <mergeCell ref="L121:M121"/>
    <mergeCell ref="N121:O121"/>
    <mergeCell ref="B61:E62"/>
    <mergeCell ref="L61:M61"/>
    <mergeCell ref="N61:O61"/>
    <mergeCell ref="L62:M62"/>
    <mergeCell ref="N62:O62"/>
    <mergeCell ref="B64:C64"/>
    <mergeCell ref="D64:E64"/>
    <mergeCell ref="F64:G64"/>
    <mergeCell ref="H64:I64"/>
    <mergeCell ref="J64:K64"/>
    <mergeCell ref="L64:M64"/>
    <mergeCell ref="N64:O64"/>
    <mergeCell ref="B1:F1"/>
    <mergeCell ref="B2:E3"/>
    <mergeCell ref="L2:M2"/>
    <mergeCell ref="N2:O2"/>
    <mergeCell ref="L3:M3"/>
    <mergeCell ref="N3:O3"/>
    <mergeCell ref="N5:O5"/>
    <mergeCell ref="B6:C6"/>
    <mergeCell ref="D6:E6"/>
    <mergeCell ref="F6:G6"/>
    <mergeCell ref="H6:I6"/>
    <mergeCell ref="J6:K6"/>
    <mergeCell ref="L6:M6"/>
    <mergeCell ref="N6:O6"/>
    <mergeCell ref="B5:C5"/>
    <mergeCell ref="D5:E5"/>
    <mergeCell ref="F5:G5"/>
    <mergeCell ref="H5:I5"/>
    <mergeCell ref="J5:K5"/>
    <mergeCell ref="L5:M5"/>
    <mergeCell ref="L1:M1"/>
  </mergeCells>
  <conditionalFormatting sqref="P14">
    <cfRule type="expression" dxfId="635" priority="806">
      <formula>N7&gt;15</formula>
    </cfRule>
  </conditionalFormatting>
  <conditionalFormatting sqref="C117 E117 G117 I117 K117 M117 O117">
    <cfRule type="expression" dxfId="634" priority="731">
      <formula>B116&lt;15</formula>
    </cfRule>
  </conditionalFormatting>
  <conditionalFormatting sqref="C185 E185 G185 I185 K185 M185 O185">
    <cfRule type="expression" dxfId="633" priority="661">
      <formula>B184&gt;15</formula>
    </cfRule>
  </conditionalFormatting>
  <conditionalFormatting sqref="B640 D640 F640 H640 J640 L640 N640">
    <cfRule type="expression" dxfId="632" priority="342">
      <formula>B633&lt;15</formula>
    </cfRule>
  </conditionalFormatting>
  <conditionalFormatting sqref="B635 D635 H635 J635 L635 N635">
    <cfRule type="expression" dxfId="631" priority="332">
      <formula>B633&lt;15</formula>
    </cfRule>
  </conditionalFormatting>
  <conditionalFormatting sqref="C635 E635 I635 K635 M635 O635">
    <cfRule type="expression" dxfId="630" priority="333">
      <formula>B633&lt;15</formula>
    </cfRule>
  </conditionalFormatting>
  <conditionalFormatting sqref="C640 E640 G640 I640 K640 M640 O640">
    <cfRule type="expression" dxfId="629" priority="343">
      <formula>B633&lt;15</formula>
    </cfRule>
  </conditionalFormatting>
  <conditionalFormatting sqref="P640">
    <cfRule type="expression" dxfId="628" priority="344">
      <formula>N633&lt;15</formula>
    </cfRule>
  </conditionalFormatting>
  <conditionalFormatting sqref="B636 D636 H636 J636 L636 N636">
    <cfRule type="expression" dxfId="627" priority="334">
      <formula>B633&lt;15</formula>
    </cfRule>
  </conditionalFormatting>
  <conditionalFormatting sqref="C636 E636 I636 K636 M636 O636">
    <cfRule type="expression" dxfId="626" priority="335">
      <formula>B633&lt;15</formula>
    </cfRule>
  </conditionalFormatting>
  <conditionalFormatting sqref="B637 D637 H637 J637 L637 N637">
    <cfRule type="expression" dxfId="625" priority="336">
      <formula>B633&lt;15</formula>
    </cfRule>
  </conditionalFormatting>
  <conditionalFormatting sqref="C637 E637 I637 K637 M637 O637">
    <cfRule type="expression" dxfId="624" priority="337">
      <formula>B633&lt;15</formula>
    </cfRule>
  </conditionalFormatting>
  <conditionalFormatting sqref="B634 D634 F634 H634 J634 L634 N634">
    <cfRule type="expression" dxfId="623" priority="330">
      <formula>B633&lt;15</formula>
    </cfRule>
  </conditionalFormatting>
  <conditionalFormatting sqref="C634 E634 G634 I634 K634 M634 O634">
    <cfRule type="expression" dxfId="622" priority="331">
      <formula>B633&lt;15</formula>
    </cfRule>
  </conditionalFormatting>
  <conditionalFormatting sqref="F18">
    <cfRule type="expression" dxfId="621" priority="71">
      <formula>F16&gt;15</formula>
    </cfRule>
  </conditionalFormatting>
  <conditionalFormatting sqref="P50">
    <cfRule type="expression" dxfId="620" priority="794">
      <formula>N43&lt;15</formula>
    </cfRule>
  </conditionalFormatting>
  <conditionalFormatting sqref="B59 D59 F59 H59 J59 L59 N59">
    <cfRule type="expression" dxfId="619" priority="777">
      <formula>B52&lt;15</formula>
    </cfRule>
  </conditionalFormatting>
  <conditionalFormatting sqref="C59 E59 G59 I59 K59 M59 O59">
    <cfRule type="expression" dxfId="618" priority="778">
      <formula>B52&lt;15</formula>
    </cfRule>
  </conditionalFormatting>
  <conditionalFormatting sqref="P59">
    <cfRule type="expression" dxfId="617" priority="779">
      <formula>N52&lt;15</formula>
    </cfRule>
  </conditionalFormatting>
  <conditionalFormatting sqref="D57 F57 H57 J57 L57 N57">
    <cfRule type="expression" dxfId="616" priority="773">
      <formula>D52&lt;15</formula>
    </cfRule>
  </conditionalFormatting>
  <conditionalFormatting sqref="E57 G57 I57 K57 M57 O57">
    <cfRule type="expression" dxfId="615" priority="774">
      <formula>D52&lt;15</formula>
    </cfRule>
  </conditionalFormatting>
  <conditionalFormatting sqref="D58 F58 H58 J58 L58 N58">
    <cfRule type="expression" dxfId="614" priority="775">
      <formula>D52&lt;15</formula>
    </cfRule>
  </conditionalFormatting>
  <conditionalFormatting sqref="E58 G58 I58 K58 M58 O58">
    <cfRule type="expression" dxfId="613" priority="776">
      <formula>D57&lt;15</formula>
    </cfRule>
  </conditionalFormatting>
  <conditionalFormatting sqref="B73 D73 F73 H73 J73 L73 N73">
    <cfRule type="expression" dxfId="612" priority="762">
      <formula>B66&gt;15</formula>
    </cfRule>
  </conditionalFormatting>
  <conditionalFormatting sqref="B68 D68 F68 H68 J68 L68 N68">
    <cfRule type="expression" dxfId="611" priority="752">
      <formula>B66&gt;15</formula>
    </cfRule>
  </conditionalFormatting>
  <conditionalFormatting sqref="C68 E68 G68 I68 K68 M68 O68">
    <cfRule type="expression" dxfId="610" priority="753">
      <formula>B66&gt;15</formula>
    </cfRule>
  </conditionalFormatting>
  <conditionalFormatting sqref="C73 E73 G73 I73 K73 M73 O73">
    <cfRule type="expression" dxfId="609" priority="763">
      <formula>B66&gt;15</formula>
    </cfRule>
  </conditionalFormatting>
  <conditionalFormatting sqref="P73">
    <cfRule type="expression" dxfId="608" priority="764">
      <formula>N66&gt;15</formula>
    </cfRule>
  </conditionalFormatting>
  <conditionalFormatting sqref="B69 D69 F69 H69 J69 L69 N69">
    <cfRule type="expression" dxfId="607" priority="754">
      <formula>B66&gt;15</formula>
    </cfRule>
  </conditionalFormatting>
  <conditionalFormatting sqref="C69 E69 G69 I69 K69 M69 O69">
    <cfRule type="expression" dxfId="606" priority="755">
      <formula>B66&gt;15</formula>
    </cfRule>
  </conditionalFormatting>
  <conditionalFormatting sqref="B70 D70 F70 H70 J70 L70 N70">
    <cfRule type="expression" dxfId="605" priority="756">
      <formula>B66&gt;15</formula>
    </cfRule>
  </conditionalFormatting>
  <conditionalFormatting sqref="C70 E70 G70 I70 K70 M70 O70">
    <cfRule type="expression" dxfId="604" priority="757">
      <formula>B66&gt;15</formula>
    </cfRule>
  </conditionalFormatting>
  <conditionalFormatting sqref="B71 D71 F71 H71 J71">
    <cfRule type="expression" dxfId="603" priority="758">
      <formula>B66&gt;15</formula>
    </cfRule>
  </conditionalFormatting>
  <conditionalFormatting sqref="C71 E71 G71 I71 K71">
    <cfRule type="expression" dxfId="602" priority="759">
      <formula>B66&gt;15</formula>
    </cfRule>
  </conditionalFormatting>
  <conditionalFormatting sqref="B72 D72 F72 H72 J72">
    <cfRule type="expression" dxfId="601" priority="760">
      <formula>B66&gt;15</formula>
    </cfRule>
  </conditionalFormatting>
  <conditionalFormatting sqref="C72 E72 G72 I72 K72">
    <cfRule type="expression" dxfId="600" priority="761">
      <formula>B71&gt;15</formula>
    </cfRule>
  </conditionalFormatting>
  <conditionalFormatting sqref="B67 D67 F67 H67 J67 L67 N67">
    <cfRule type="expression" dxfId="599" priority="750">
      <formula>B66&gt;15</formula>
    </cfRule>
  </conditionalFormatting>
  <conditionalFormatting sqref="C67 E67 G67 I67 K67 M67 O67">
    <cfRule type="expression" dxfId="598" priority="751">
      <formula>B66&gt;15</formula>
    </cfRule>
  </conditionalFormatting>
  <conditionalFormatting sqref="B109 D109 F109 H109 J109 L109 N109">
    <cfRule type="expression" dxfId="597" priority="747">
      <formula>B102&lt;15</formula>
    </cfRule>
  </conditionalFormatting>
  <conditionalFormatting sqref="D104 F104 H104 J104 L104 N104">
    <cfRule type="expression" dxfId="596" priority="737">
      <formula>D102&lt;15</formula>
    </cfRule>
  </conditionalFormatting>
  <conditionalFormatting sqref="E104 G104 I104 K104 M104 O104">
    <cfRule type="expression" dxfId="595" priority="738">
      <formula>D102&lt;15</formula>
    </cfRule>
  </conditionalFormatting>
  <conditionalFormatting sqref="C109 E109 G109 I109 K109 M109 O109">
    <cfRule type="expression" dxfId="594" priority="748">
      <formula>B102&lt;15</formula>
    </cfRule>
  </conditionalFormatting>
  <conditionalFormatting sqref="P109">
    <cfRule type="expression" dxfId="593" priority="749">
      <formula>N102&lt;15</formula>
    </cfRule>
  </conditionalFormatting>
  <conditionalFormatting sqref="D105 F105 H105 J105 L105 N105">
    <cfRule type="expression" dxfId="592" priority="739">
      <formula>D102&lt;15</formula>
    </cfRule>
  </conditionalFormatting>
  <conditionalFormatting sqref="E105 G105 I105 K105 M105 O105">
    <cfRule type="expression" dxfId="591" priority="740">
      <formula>D102&lt;15</formula>
    </cfRule>
  </conditionalFormatting>
  <conditionalFormatting sqref="D106 F106 H106 J106 L106 N106">
    <cfRule type="expression" dxfId="590" priority="741">
      <formula>D102&lt;15</formula>
    </cfRule>
  </conditionalFormatting>
  <conditionalFormatting sqref="E106 G106 I106 K106 M106 O106">
    <cfRule type="expression" dxfId="589" priority="742">
      <formula>D102&lt;15</formula>
    </cfRule>
  </conditionalFormatting>
  <conditionalFormatting sqref="B103 D103 F103 H103 J103 L103 N103">
    <cfRule type="expression" dxfId="588" priority="735">
      <formula>B102&lt;15</formula>
    </cfRule>
  </conditionalFormatting>
  <conditionalFormatting sqref="C103 E103 G103 I103 K103 M103 O103">
    <cfRule type="expression" dxfId="587" priority="736">
      <formula>B102&lt;15</formula>
    </cfRule>
  </conditionalFormatting>
  <conditionalFormatting sqref="B118 D118 F118 H118 J118 L118 N118">
    <cfRule type="expression" dxfId="586" priority="732">
      <formula>B111&lt;15</formula>
    </cfRule>
  </conditionalFormatting>
  <conditionalFormatting sqref="B113 D113 F113 H113 J113 L113 N113">
    <cfRule type="expression" dxfId="585" priority="722">
      <formula>B111&lt;15</formula>
    </cfRule>
  </conditionalFormatting>
  <conditionalFormatting sqref="C113 E113 G113 I113 K113 M113 O113">
    <cfRule type="expression" dxfId="584" priority="723">
      <formula>B111&lt;15</formula>
    </cfRule>
  </conditionalFormatting>
  <conditionalFormatting sqref="C118 E118 G118 I118 K118 M118 O118">
    <cfRule type="expression" dxfId="583" priority="733">
      <formula>B111&lt;15</formula>
    </cfRule>
  </conditionalFormatting>
  <conditionalFormatting sqref="P118">
    <cfRule type="expression" dxfId="582" priority="734">
      <formula>N111&lt;15</formula>
    </cfRule>
  </conditionalFormatting>
  <conditionalFormatting sqref="B114 D114 F114 H114 J114 L114 N114">
    <cfRule type="expression" dxfId="581" priority="724">
      <formula>B111&lt;15</formula>
    </cfRule>
  </conditionalFormatting>
  <conditionalFormatting sqref="C114 E114 G114 I114 K114 M114 O114">
    <cfRule type="expression" dxfId="580" priority="725">
      <formula>B111&lt;15</formula>
    </cfRule>
  </conditionalFormatting>
  <conditionalFormatting sqref="B115 D115 F115 H115 J115 L115 N115">
    <cfRule type="expression" dxfId="579" priority="726">
      <formula>B111&lt;15</formula>
    </cfRule>
  </conditionalFormatting>
  <conditionalFormatting sqref="C115 E115 G115 I115 K115 M115 O115">
    <cfRule type="expression" dxfId="578" priority="727">
      <formula>B111&lt;15</formula>
    </cfRule>
  </conditionalFormatting>
  <conditionalFormatting sqref="B116 D116 F116 H116 J116 L116 N116">
    <cfRule type="expression" dxfId="577" priority="728">
      <formula>B111&lt;15</formula>
    </cfRule>
  </conditionalFormatting>
  <conditionalFormatting sqref="C116 E116 G116 I116 K116 M116 O116">
    <cfRule type="expression" dxfId="576" priority="729">
      <formula>B111&lt;15</formula>
    </cfRule>
  </conditionalFormatting>
  <conditionalFormatting sqref="B117 D117 F117 H117 J117 L117 N117">
    <cfRule type="expression" dxfId="575" priority="730">
      <formula>B111&lt;15</formula>
    </cfRule>
  </conditionalFormatting>
  <conditionalFormatting sqref="B112 D112 F112 H112 J112 L112 N112">
    <cfRule type="expression" dxfId="574" priority="720">
      <formula>B111&lt;15</formula>
    </cfRule>
  </conditionalFormatting>
  <conditionalFormatting sqref="C112 E112 G112 I112 K112 M112 O112">
    <cfRule type="expression" dxfId="573" priority="721">
      <formula>B111&lt;15</formula>
    </cfRule>
  </conditionalFormatting>
  <conditionalFormatting sqref="B132 D132 F132 H132 J132 L132 N132">
    <cfRule type="expression" dxfId="572" priority="717">
      <formula>B125&gt;15</formula>
    </cfRule>
  </conditionalFormatting>
  <conditionalFormatting sqref="B127 D127 F127 H127 J127 L127 N127">
    <cfRule type="expression" dxfId="571" priority="707">
      <formula>B125&gt;15</formula>
    </cfRule>
  </conditionalFormatting>
  <conditionalFormatting sqref="C127 E127 G127 I127 K127 M127 O127">
    <cfRule type="expression" dxfId="570" priority="708">
      <formula>B125&gt;15</formula>
    </cfRule>
  </conditionalFormatting>
  <conditionalFormatting sqref="C132 E132 G132 I132 K132 M132 O132">
    <cfRule type="expression" dxfId="569" priority="718">
      <formula>B125&gt;15</formula>
    </cfRule>
  </conditionalFormatting>
  <conditionalFormatting sqref="P132">
    <cfRule type="expression" dxfId="568" priority="719">
      <formula>N125&gt;15</formula>
    </cfRule>
  </conditionalFormatting>
  <conditionalFormatting sqref="B128 D128 F128 H128 J128 L128 N128">
    <cfRule type="expression" dxfId="567" priority="709">
      <formula>B125&gt;15</formula>
    </cfRule>
  </conditionalFormatting>
  <conditionalFormatting sqref="C128 E128 G128 I128 K128 M128 O128">
    <cfRule type="expression" dxfId="566" priority="710">
      <formula>B125&gt;15</formula>
    </cfRule>
  </conditionalFormatting>
  <conditionalFormatting sqref="B129 D129 F129 H129 J129 L129 N129">
    <cfRule type="expression" dxfId="565" priority="711">
      <formula>B125&gt;15</formula>
    </cfRule>
  </conditionalFormatting>
  <conditionalFormatting sqref="C129 E129 G129 I129 K129 M129 O129">
    <cfRule type="expression" dxfId="564" priority="712">
      <formula>B125&gt;15</formula>
    </cfRule>
  </conditionalFormatting>
  <conditionalFormatting sqref="B130 D130 F130 H130 J130 L130">
    <cfRule type="expression" dxfId="563" priority="713">
      <formula>B125&gt;15</formula>
    </cfRule>
  </conditionalFormatting>
  <conditionalFormatting sqref="C130 E130 G130 I130 K130 M130">
    <cfRule type="expression" dxfId="562" priority="714">
      <formula>B125&gt;15</formula>
    </cfRule>
  </conditionalFormatting>
  <conditionalFormatting sqref="B131 D131 F131 H131 J131 L131">
    <cfRule type="expression" dxfId="561" priority="715">
      <formula>B125&gt;15</formula>
    </cfRule>
  </conditionalFormatting>
  <conditionalFormatting sqref="C131 E131 G131 I131 K131">
    <cfRule type="expression" dxfId="560" priority="716">
      <formula>B130&gt;15</formula>
    </cfRule>
  </conditionalFormatting>
  <conditionalFormatting sqref="B126 D126 F126 H126 J126 L126 N126">
    <cfRule type="expression" dxfId="559" priority="705">
      <formula>B125&gt;15</formula>
    </cfRule>
  </conditionalFormatting>
  <conditionalFormatting sqref="C126 E126 G126 I126 K126 M126 O126">
    <cfRule type="expression" dxfId="558" priority="706">
      <formula>B125&gt;15</formula>
    </cfRule>
  </conditionalFormatting>
  <conditionalFormatting sqref="B168 D168 F168 H168 J168 L168 N168">
    <cfRule type="expression" dxfId="557" priority="702">
      <formula>B161&lt;15</formula>
    </cfRule>
  </conditionalFormatting>
  <conditionalFormatting sqref="B163 D163 F163 J163 L163 N163">
    <cfRule type="expression" dxfId="556" priority="692">
      <formula>B161&lt;15</formula>
    </cfRule>
  </conditionalFormatting>
  <conditionalFormatting sqref="C163 E163 G163 K163 M163 O163">
    <cfRule type="expression" dxfId="555" priority="693">
      <formula>B161&lt;15</formula>
    </cfRule>
  </conditionalFormatting>
  <conditionalFormatting sqref="C168 E168 G168 I168 K168 M168 O168">
    <cfRule type="expression" dxfId="554" priority="703">
      <formula>B161&lt;15</formula>
    </cfRule>
  </conditionalFormatting>
  <conditionalFormatting sqref="P168">
    <cfRule type="expression" dxfId="553" priority="704">
      <formula>N161&lt;15</formula>
    </cfRule>
  </conditionalFormatting>
  <conditionalFormatting sqref="B164 D164 F164 J164 L164 N164">
    <cfRule type="expression" dxfId="552" priority="694">
      <formula>B161&lt;15</formula>
    </cfRule>
  </conditionalFormatting>
  <conditionalFormatting sqref="C164 E164 G164 K164 M164 O164">
    <cfRule type="expression" dxfId="551" priority="695">
      <formula>B161&lt;15</formula>
    </cfRule>
  </conditionalFormatting>
  <conditionalFormatting sqref="B165 D165 F165 J165 L165 N165">
    <cfRule type="expression" dxfId="550" priority="696">
      <formula>B161&lt;15</formula>
    </cfRule>
  </conditionalFormatting>
  <conditionalFormatting sqref="C165 E165 G165 K165 M165 O165">
    <cfRule type="expression" dxfId="549" priority="697">
      <formula>B161&lt;15</formula>
    </cfRule>
  </conditionalFormatting>
  <conditionalFormatting sqref="B162 D162 F162 H162 J162 L162 N162">
    <cfRule type="expression" dxfId="548" priority="690">
      <formula>B161&lt;15</formula>
    </cfRule>
  </conditionalFormatting>
  <conditionalFormatting sqref="C162 E162 G162 I162 K162 M162 O162">
    <cfRule type="expression" dxfId="547" priority="691">
      <formula>B161&lt;15</formula>
    </cfRule>
  </conditionalFormatting>
  <conditionalFormatting sqref="B177 D177 F177 H177 J177 L177 N177">
    <cfRule type="expression" dxfId="546" priority="687">
      <formula>B170&lt;15</formula>
    </cfRule>
  </conditionalFormatting>
  <conditionalFormatting sqref="B172 D172 F172 H172 J172 L172 N172">
    <cfRule type="expression" dxfId="545" priority="677">
      <formula>B170&lt;15</formula>
    </cfRule>
  </conditionalFormatting>
  <conditionalFormatting sqref="C172 E172 G172 I172 K172 M172 O172">
    <cfRule type="expression" dxfId="544" priority="678">
      <formula>B170&lt;15</formula>
    </cfRule>
  </conditionalFormatting>
  <conditionalFormatting sqref="C177 E177 G177 I177 K177 M177 O177">
    <cfRule type="expression" dxfId="543" priority="688">
      <formula>B170&lt;15</formula>
    </cfRule>
  </conditionalFormatting>
  <conditionalFormatting sqref="P177">
    <cfRule type="expression" dxfId="542" priority="689">
      <formula>N170&lt;15</formula>
    </cfRule>
  </conditionalFormatting>
  <conditionalFormatting sqref="B173 D173 F173 H173 J173 L173 N173">
    <cfRule type="expression" dxfId="541" priority="679">
      <formula>B170&lt;15</formula>
    </cfRule>
  </conditionalFormatting>
  <conditionalFormatting sqref="C173 E173 G173 I173 K173 M173 O173">
    <cfRule type="expression" dxfId="540" priority="680">
      <formula>B170&lt;15</formula>
    </cfRule>
  </conditionalFormatting>
  <conditionalFormatting sqref="B174 D174 F174 H174 J174 L174 N174">
    <cfRule type="expression" dxfId="539" priority="681">
      <formula>B170&lt;15</formula>
    </cfRule>
  </conditionalFormatting>
  <conditionalFormatting sqref="C174 E174 G174 I174 K174 M174 O174">
    <cfRule type="expression" dxfId="538" priority="682">
      <formula>B170&lt;15</formula>
    </cfRule>
  </conditionalFormatting>
  <conditionalFormatting sqref="F175 H175 J175 L175 N175">
    <cfRule type="expression" dxfId="537" priority="683">
      <formula>F170&lt;15</formula>
    </cfRule>
  </conditionalFormatting>
  <conditionalFormatting sqref="G175 I175 K175 M175 O175">
    <cfRule type="expression" dxfId="536" priority="684">
      <formula>F170&lt;15</formula>
    </cfRule>
  </conditionalFormatting>
  <conditionalFormatting sqref="F176 H176 J176 L176 N176">
    <cfRule type="expression" dxfId="535" priority="685">
      <formula>F170&lt;15</formula>
    </cfRule>
  </conditionalFormatting>
  <conditionalFormatting sqref="G176 I176 K176 M176 O176">
    <cfRule type="expression" dxfId="534" priority="686">
      <formula>F175&lt;15</formula>
    </cfRule>
  </conditionalFormatting>
  <conditionalFormatting sqref="B171 D171 F171 H171 J171 L171 N171">
    <cfRule type="expression" dxfId="533" priority="675">
      <formula>B170&lt;15</formula>
    </cfRule>
  </conditionalFormatting>
  <conditionalFormatting sqref="C171 E171 G171 I171 K171 M171 O171">
    <cfRule type="expression" dxfId="532" priority="676">
      <formula>B170&lt;15</formula>
    </cfRule>
  </conditionalFormatting>
  <conditionalFormatting sqref="B191 D191 F191 H191 J191 L191 N191">
    <cfRule type="expression" dxfId="531" priority="672">
      <formula>B184&gt;15</formula>
    </cfRule>
  </conditionalFormatting>
  <conditionalFormatting sqref="B186 D186 F186 H186 J186 L186 N186">
    <cfRule type="expression" dxfId="530" priority="662">
      <formula>B184&gt;15</formula>
    </cfRule>
  </conditionalFormatting>
  <conditionalFormatting sqref="C186 E186 G186 I186 K186 M186 O186">
    <cfRule type="expression" dxfId="529" priority="663">
      <formula>B184&gt;15</formula>
    </cfRule>
  </conditionalFormatting>
  <conditionalFormatting sqref="C191 E191 G191 I191 K191 M191 O191">
    <cfRule type="expression" dxfId="528" priority="673">
      <formula>B184&gt;15</formula>
    </cfRule>
  </conditionalFormatting>
  <conditionalFormatting sqref="P191">
    <cfRule type="expression" dxfId="527" priority="674">
      <formula>N184&gt;15</formula>
    </cfRule>
  </conditionalFormatting>
  <conditionalFormatting sqref="B187 D187 F187 H187 J187 L187 N187">
    <cfRule type="expression" dxfId="526" priority="664">
      <formula>B184&gt;15</formula>
    </cfRule>
  </conditionalFormatting>
  <conditionalFormatting sqref="C187 E187 G187 I187 K187 M187 O187">
    <cfRule type="expression" dxfId="525" priority="665">
      <formula>B184&gt;15</formula>
    </cfRule>
  </conditionalFormatting>
  <conditionalFormatting sqref="B188 D188 F188 H188 J188 L188 N188">
    <cfRule type="expression" dxfId="524" priority="666">
      <formula>B184&gt;15</formula>
    </cfRule>
  </conditionalFormatting>
  <conditionalFormatting sqref="C188 E188 G188 I188 K188 M188 O188">
    <cfRule type="expression" dxfId="523" priority="667">
      <formula>B184&gt;15</formula>
    </cfRule>
  </conditionalFormatting>
  <conditionalFormatting sqref="B189 D189">
    <cfRule type="expression" dxfId="522" priority="668">
      <formula>B184&gt;15</formula>
    </cfRule>
  </conditionalFormatting>
  <conditionalFormatting sqref="C189 E189">
    <cfRule type="expression" dxfId="521" priority="669">
      <formula>B184&gt;15</formula>
    </cfRule>
  </conditionalFormatting>
  <conditionalFormatting sqref="B190 D190">
    <cfRule type="expression" dxfId="520" priority="670">
      <formula>B184&gt;15</formula>
    </cfRule>
  </conditionalFormatting>
  <conditionalFormatting sqref="C190 E190">
    <cfRule type="expression" dxfId="519" priority="671">
      <formula>B189&gt;15</formula>
    </cfRule>
  </conditionalFormatting>
  <conditionalFormatting sqref="B185 D185 F185 H185 J185 L185 N185">
    <cfRule type="expression" dxfId="518" priority="660">
      <formula>B184&gt;15</formula>
    </cfRule>
  </conditionalFormatting>
  <conditionalFormatting sqref="B227 D227 F227 H227 J227 L227 N227">
    <cfRule type="expression" dxfId="517" priority="657">
      <formula>B220&lt;15</formula>
    </cfRule>
  </conditionalFormatting>
  <conditionalFormatting sqref="B222 D222 F222 H222 J222 N222">
    <cfRule type="expression" dxfId="516" priority="647">
      <formula>B220&lt;15</formula>
    </cfRule>
  </conditionalFormatting>
  <conditionalFormatting sqref="C222 E222 G222 I222 K222 O222">
    <cfRule type="expression" dxfId="515" priority="648">
      <formula>B220&lt;15</formula>
    </cfRule>
  </conditionalFormatting>
  <conditionalFormatting sqref="C227 E227 G227 I227 K227 M227 O227">
    <cfRule type="expression" dxfId="514" priority="658">
      <formula>B220&lt;15</formula>
    </cfRule>
  </conditionalFormatting>
  <conditionalFormatting sqref="P227">
    <cfRule type="expression" dxfId="513" priority="659">
      <formula>N220&lt;15</formula>
    </cfRule>
  </conditionalFormatting>
  <conditionalFormatting sqref="B223 D223 F223 H223 J223 N223">
    <cfRule type="expression" dxfId="512" priority="649">
      <formula>B220&lt;15</formula>
    </cfRule>
  </conditionalFormatting>
  <conditionalFormatting sqref="C223 E223 G223 I223 K223 O223">
    <cfRule type="expression" dxfId="511" priority="650">
      <formula>B220&lt;15</formula>
    </cfRule>
  </conditionalFormatting>
  <conditionalFormatting sqref="B224 D224 F224 H224 J224 N224">
    <cfRule type="expression" dxfId="510" priority="651">
      <formula>B220&lt;15</formula>
    </cfRule>
  </conditionalFormatting>
  <conditionalFormatting sqref="C224 E224 G224 I224 K224 O224">
    <cfRule type="expression" dxfId="509" priority="652">
      <formula>B220&lt;15</formula>
    </cfRule>
  </conditionalFormatting>
  <conditionalFormatting sqref="B221 D221 F221 H221 J221 L221 N221">
    <cfRule type="expression" dxfId="508" priority="645">
      <formula>B220&lt;15</formula>
    </cfRule>
  </conditionalFormatting>
  <conditionalFormatting sqref="C221 E221 G221 I221 K221 M221 O221">
    <cfRule type="expression" dxfId="507" priority="646">
      <formula>B220&lt;15</formula>
    </cfRule>
  </conditionalFormatting>
  <conditionalFormatting sqref="B236 D236 F236 H236 J236 L236 N236">
    <cfRule type="expression" dxfId="506" priority="642">
      <formula>B229&lt;15</formula>
    </cfRule>
  </conditionalFormatting>
  <conditionalFormatting sqref="B231 D231 F231 H231 J231 L231 N231">
    <cfRule type="expression" dxfId="505" priority="632">
      <formula>B229&lt;15</formula>
    </cfRule>
  </conditionalFormatting>
  <conditionalFormatting sqref="C231 E231 G231 I231 K231 M231 O231">
    <cfRule type="expression" dxfId="504" priority="633">
      <formula>B229&lt;15</formula>
    </cfRule>
  </conditionalFormatting>
  <conditionalFormatting sqref="C236 E236 G236 I236 K236 M236 O236">
    <cfRule type="expression" dxfId="503" priority="643">
      <formula>B229&lt;15</formula>
    </cfRule>
  </conditionalFormatting>
  <conditionalFormatting sqref="P236">
    <cfRule type="expression" dxfId="502" priority="644">
      <formula>N229&lt;15</formula>
    </cfRule>
  </conditionalFormatting>
  <conditionalFormatting sqref="B232 D232 F232 H232 J232 L232 N232">
    <cfRule type="expression" dxfId="501" priority="634">
      <formula>B229&lt;15</formula>
    </cfRule>
  </conditionalFormatting>
  <conditionalFormatting sqref="C232 E232 G232 I232 K232 M232 O232">
    <cfRule type="expression" dxfId="500" priority="635">
      <formula>B229&lt;15</formula>
    </cfRule>
  </conditionalFormatting>
  <conditionalFormatting sqref="B233 D233 F233 H233 J233 L233 N233">
    <cfRule type="expression" dxfId="499" priority="636">
      <formula>B229&lt;15</formula>
    </cfRule>
  </conditionalFormatting>
  <conditionalFormatting sqref="C233 E233 G233 I233 K233 M233 O233">
    <cfRule type="expression" dxfId="498" priority="637">
      <formula>B229&lt;15</formula>
    </cfRule>
  </conditionalFormatting>
  <conditionalFormatting sqref="B234 D234 F234 H234 J234 L234 N234">
    <cfRule type="expression" dxfId="497" priority="638">
      <formula>B229&lt;15</formula>
    </cfRule>
  </conditionalFormatting>
  <conditionalFormatting sqref="C234 E234 G234 I234 K234 M234 O234">
    <cfRule type="expression" dxfId="496" priority="639">
      <formula>B229&lt;15</formula>
    </cfRule>
  </conditionalFormatting>
  <conditionalFormatting sqref="B235 D235 F235 H235 J235 L235 N235">
    <cfRule type="expression" dxfId="495" priority="640">
      <formula>B229&lt;15</formula>
    </cfRule>
  </conditionalFormatting>
  <conditionalFormatting sqref="C235 E235 G235 I235 K235 M235 O235">
    <cfRule type="expression" dxfId="494" priority="641">
      <formula>B234&lt;15</formula>
    </cfRule>
  </conditionalFormatting>
  <conditionalFormatting sqref="B230 D230 F230 H230 J230 L230 N230">
    <cfRule type="expression" dxfId="493" priority="630">
      <formula>B229&lt;15</formula>
    </cfRule>
  </conditionalFormatting>
  <conditionalFormatting sqref="C230 E230 G230 I230 K230 M230 O230">
    <cfRule type="expression" dxfId="492" priority="631">
      <formula>B229&lt;15</formula>
    </cfRule>
  </conditionalFormatting>
  <conditionalFormatting sqref="B250 D250 F250 H250 J250 L250 N250">
    <cfRule type="expression" dxfId="491" priority="627">
      <formula>B243&gt;15</formula>
    </cfRule>
  </conditionalFormatting>
  <conditionalFormatting sqref="B245 D245 F245 H245 J245 L245 N245">
    <cfRule type="expression" dxfId="490" priority="617">
      <formula>B243&gt;15</formula>
    </cfRule>
  </conditionalFormatting>
  <conditionalFormatting sqref="C245 E245 G245 I245 K245 M245 O245">
    <cfRule type="expression" dxfId="489" priority="618">
      <formula>B243&gt;15</formula>
    </cfRule>
  </conditionalFormatting>
  <conditionalFormatting sqref="C250 E250 G250 I250 K250 M250 O250">
    <cfRule type="expression" dxfId="488" priority="628">
      <formula>B243&gt;15</formula>
    </cfRule>
  </conditionalFormatting>
  <conditionalFormatting sqref="P250">
    <cfRule type="expression" dxfId="487" priority="629">
      <formula>N243&gt;15</formula>
    </cfRule>
  </conditionalFormatting>
  <conditionalFormatting sqref="B246 D246 F246 H246 J246 L246 N246">
    <cfRule type="expression" dxfId="486" priority="619">
      <formula>B243&gt;15</formula>
    </cfRule>
  </conditionalFormatting>
  <conditionalFormatting sqref="C246 E246 G246 I246 K246 M246 O246">
    <cfRule type="expression" dxfId="485" priority="620">
      <formula>B243&gt;15</formula>
    </cfRule>
  </conditionalFormatting>
  <conditionalFormatting sqref="B247 D247 F247 H247 J247 L247 N247">
    <cfRule type="expression" dxfId="484" priority="621">
      <formula>B243&gt;15</formula>
    </cfRule>
  </conditionalFormatting>
  <conditionalFormatting sqref="C247 E247 G247 I247 K247 M247 O247">
    <cfRule type="expression" dxfId="483" priority="622">
      <formula>B243&gt;15</formula>
    </cfRule>
  </conditionalFormatting>
  <conditionalFormatting sqref="B248 D248 F248 H248">
    <cfRule type="expression" dxfId="482" priority="623">
      <formula>B243&gt;15</formula>
    </cfRule>
  </conditionalFormatting>
  <conditionalFormatting sqref="C248 E248 G248 I248">
    <cfRule type="expression" dxfId="481" priority="624">
      <formula>B243&gt;15</formula>
    </cfRule>
  </conditionalFormatting>
  <conditionalFormatting sqref="B249 D249 F249 H249">
    <cfRule type="expression" dxfId="480" priority="625">
      <formula>B243&gt;15</formula>
    </cfRule>
  </conditionalFormatting>
  <conditionalFormatting sqref="C249 E249 G249 I249">
    <cfRule type="expression" dxfId="479" priority="626">
      <formula>B248&gt;15</formula>
    </cfRule>
  </conditionalFormatting>
  <conditionalFormatting sqref="B244 D244 F244 H244 J244 L244 N244">
    <cfRule type="expression" dxfId="478" priority="615">
      <formula>B243&gt;15</formula>
    </cfRule>
  </conditionalFormatting>
  <conditionalFormatting sqref="C244 E244 G244 I244 K244 M244 O244">
    <cfRule type="expression" dxfId="477" priority="616">
      <formula>B243&gt;15</formula>
    </cfRule>
  </conditionalFormatting>
  <conditionalFormatting sqref="B286 D286 F286 H286 J286 L286 N286">
    <cfRule type="expression" dxfId="476" priority="612">
      <formula>B279&lt;15</formula>
    </cfRule>
  </conditionalFormatting>
  <conditionalFormatting sqref="B281 D281 F281 H281 J281 L281 N281">
    <cfRule type="expression" dxfId="475" priority="602">
      <formula>B279&lt;15</formula>
    </cfRule>
  </conditionalFormatting>
  <conditionalFormatting sqref="C281 E281 G281 I281 K281 M281 O281">
    <cfRule type="expression" dxfId="474" priority="603">
      <formula>B279&lt;15</formula>
    </cfRule>
  </conditionalFormatting>
  <conditionalFormatting sqref="C286 E286 G286 I286 K286 M286 O286">
    <cfRule type="expression" dxfId="473" priority="613">
      <formula>B279&lt;15</formula>
    </cfRule>
  </conditionalFormatting>
  <conditionalFormatting sqref="P286">
    <cfRule type="expression" dxfId="472" priority="614">
      <formula>N279&lt;15</formula>
    </cfRule>
  </conditionalFormatting>
  <conditionalFormatting sqref="B282 D282 F282 H282 J282 L282 N282">
    <cfRule type="expression" dxfId="471" priority="604">
      <formula>B279&lt;15</formula>
    </cfRule>
  </conditionalFormatting>
  <conditionalFormatting sqref="C282 E282 G282 I282 K282 M282 O282">
    <cfRule type="expression" dxfId="470" priority="605">
      <formula>B279&lt;15</formula>
    </cfRule>
  </conditionalFormatting>
  <conditionalFormatting sqref="B283 D283 F283 H283 J283 L283 N283">
    <cfRule type="expression" dxfId="469" priority="606">
      <formula>B279&lt;15</formula>
    </cfRule>
  </conditionalFormatting>
  <conditionalFormatting sqref="C283 E283 G283 I283 K283 M283 O283">
    <cfRule type="expression" dxfId="468" priority="607">
      <formula>B279&lt;15</formula>
    </cfRule>
  </conditionalFormatting>
  <conditionalFormatting sqref="B280 D280 F280 H280 J280 L280 N280">
    <cfRule type="expression" dxfId="467" priority="600">
      <formula>B279&lt;15</formula>
    </cfRule>
  </conditionalFormatting>
  <conditionalFormatting sqref="C280 E280 G280 I280 K280 M280 O280">
    <cfRule type="expression" dxfId="466" priority="601">
      <formula>B279&lt;15</formula>
    </cfRule>
  </conditionalFormatting>
  <conditionalFormatting sqref="B295 D295 F295 H295 J295 L295 N295">
    <cfRule type="expression" dxfId="465" priority="597">
      <formula>B288&lt;15</formula>
    </cfRule>
  </conditionalFormatting>
  <conditionalFormatting sqref="F290 H290 J290 L290 N290">
    <cfRule type="expression" dxfId="464" priority="587">
      <formula>F288&lt;15</formula>
    </cfRule>
  </conditionalFormatting>
  <conditionalFormatting sqref="G290 I290 K290 M290 O290">
    <cfRule type="expression" dxfId="463" priority="588">
      <formula>F288&lt;15</formula>
    </cfRule>
  </conditionalFormatting>
  <conditionalFormatting sqref="C295 E295 G295 I295 K295 M295 O295">
    <cfRule type="expression" dxfId="462" priority="598">
      <formula>B288&lt;15</formula>
    </cfRule>
  </conditionalFormatting>
  <conditionalFormatting sqref="P295">
    <cfRule type="expression" dxfId="461" priority="599">
      <formula>N288&lt;15</formula>
    </cfRule>
  </conditionalFormatting>
  <conditionalFormatting sqref="F291 H291 J291 L291 N291">
    <cfRule type="expression" dxfId="460" priority="589">
      <formula>F288&lt;15</formula>
    </cfRule>
  </conditionalFormatting>
  <conditionalFormatting sqref="G291 I291 K291 M291 O291">
    <cfRule type="expression" dxfId="459" priority="590">
      <formula>F288&lt;15</formula>
    </cfRule>
  </conditionalFormatting>
  <conditionalFormatting sqref="F292 H292 J292 L292 N292">
    <cfRule type="expression" dxfId="458" priority="591">
      <formula>F288&lt;15</formula>
    </cfRule>
  </conditionalFormatting>
  <conditionalFormatting sqref="G292 I292 K292 M292 O292">
    <cfRule type="expression" dxfId="457" priority="592">
      <formula>F288&lt;15</formula>
    </cfRule>
  </conditionalFormatting>
  <conditionalFormatting sqref="F293 H293 J293 L293 N293">
    <cfRule type="expression" dxfId="456" priority="593">
      <formula>F288&lt;15</formula>
    </cfRule>
  </conditionalFormatting>
  <conditionalFormatting sqref="G293 I293 K293 M293 O293">
    <cfRule type="expression" dxfId="455" priority="594">
      <formula>F288&lt;15</formula>
    </cfRule>
  </conditionalFormatting>
  <conditionalFormatting sqref="F294 H294 J294 L294 N294">
    <cfRule type="expression" dxfId="454" priority="595">
      <formula>F288&lt;15</formula>
    </cfRule>
  </conditionalFormatting>
  <conditionalFormatting sqref="G294 I294 K294 M294 O294">
    <cfRule type="expression" dxfId="453" priority="596">
      <formula>F293&lt;15</formula>
    </cfRule>
  </conditionalFormatting>
  <conditionalFormatting sqref="B289 D289 F289 H289 J289 L289 N289">
    <cfRule type="expression" dxfId="452" priority="585">
      <formula>B288&lt;15</formula>
    </cfRule>
  </conditionalFormatting>
  <conditionalFormatting sqref="C289 E289 G289 I289 K289 M289 O289">
    <cfRule type="expression" dxfId="451" priority="586">
      <formula>B288&lt;15</formula>
    </cfRule>
  </conditionalFormatting>
  <conditionalFormatting sqref="B309 D309 F309 H309 J309 L309 N309">
    <cfRule type="expression" dxfId="450" priority="582">
      <formula>B302&gt;15</formula>
    </cfRule>
  </conditionalFormatting>
  <conditionalFormatting sqref="B304 D304 F304 H304 J304 L304 N304">
    <cfRule type="expression" dxfId="449" priority="572">
      <formula>B302&gt;15</formula>
    </cfRule>
  </conditionalFormatting>
  <conditionalFormatting sqref="C304 E304 G304 I304 K304 M304 O304">
    <cfRule type="expression" dxfId="448" priority="573">
      <formula>B302&gt;15</formula>
    </cfRule>
  </conditionalFormatting>
  <conditionalFormatting sqref="C309 E309 G309 I309 K309 M309 O309">
    <cfRule type="expression" dxfId="447" priority="583">
      <formula>B302&gt;15</formula>
    </cfRule>
  </conditionalFormatting>
  <conditionalFormatting sqref="P309">
    <cfRule type="expression" dxfId="446" priority="584">
      <formula>N302&gt;15</formula>
    </cfRule>
  </conditionalFormatting>
  <conditionalFormatting sqref="B305 D305 F305 H305 J305 L305 N305">
    <cfRule type="expression" dxfId="445" priority="574">
      <formula>B302&gt;15</formula>
    </cfRule>
  </conditionalFormatting>
  <conditionalFormatting sqref="C305 E305 G305 I305 K305 M305 O305">
    <cfRule type="expression" dxfId="444" priority="575">
      <formula>B302&gt;15</formula>
    </cfRule>
  </conditionalFormatting>
  <conditionalFormatting sqref="B306 D306 F306 H306 J306 L306 N306">
    <cfRule type="expression" dxfId="443" priority="576">
      <formula>B302&gt;15</formula>
    </cfRule>
  </conditionalFormatting>
  <conditionalFormatting sqref="C306 E306 G306 I306 K306 M306 O306">
    <cfRule type="expression" dxfId="442" priority="577">
      <formula>B302&gt;15</formula>
    </cfRule>
  </conditionalFormatting>
  <conditionalFormatting sqref="B303 D303 F303 H303 J303 L303 N303">
    <cfRule type="expression" dxfId="441" priority="570">
      <formula>B302&gt;15</formula>
    </cfRule>
  </conditionalFormatting>
  <conditionalFormatting sqref="C303 E303 G303 I303 K303 M303 O303">
    <cfRule type="expression" dxfId="440" priority="571">
      <formula>B302&gt;15</formula>
    </cfRule>
  </conditionalFormatting>
  <conditionalFormatting sqref="B345 D345 F345 H345 J345 L345 N345">
    <cfRule type="expression" dxfId="439" priority="567">
      <formula>B338&lt;15</formula>
    </cfRule>
  </conditionalFormatting>
  <conditionalFormatting sqref="B340 D340 J340 L340 N340">
    <cfRule type="expression" dxfId="438" priority="557">
      <formula>B338&lt;15</formula>
    </cfRule>
  </conditionalFormatting>
  <conditionalFormatting sqref="C340 E340 K340 M340 O340">
    <cfRule type="expression" dxfId="437" priority="558">
      <formula>B338&lt;15</formula>
    </cfRule>
  </conditionalFormatting>
  <conditionalFormatting sqref="C345 E345 G345 I345 K345 M345 O345">
    <cfRule type="expression" dxfId="436" priority="568">
      <formula>B338&lt;15</formula>
    </cfRule>
  </conditionalFormatting>
  <conditionalFormatting sqref="P345">
    <cfRule type="expression" dxfId="435" priority="569">
      <formula>N338&lt;15</formula>
    </cfRule>
  </conditionalFormatting>
  <conditionalFormatting sqref="B341 D341 J341 L341 N341">
    <cfRule type="expression" dxfId="434" priority="559">
      <formula>B338&lt;15</formula>
    </cfRule>
  </conditionalFormatting>
  <conditionalFormatting sqref="C341 E341 K341 M341 O341">
    <cfRule type="expression" dxfId="433" priority="560">
      <formula>B338&lt;15</formula>
    </cfRule>
  </conditionalFormatting>
  <conditionalFormatting sqref="B342 D342 J342 L342 N342">
    <cfRule type="expression" dxfId="432" priority="561">
      <formula>B338&lt;15</formula>
    </cfRule>
  </conditionalFormatting>
  <conditionalFormatting sqref="C342 E342 K342 M342 O342">
    <cfRule type="expression" dxfId="431" priority="562">
      <formula>B338&lt;15</formula>
    </cfRule>
  </conditionalFormatting>
  <conditionalFormatting sqref="J343 L343 N343">
    <cfRule type="expression" dxfId="430" priority="563">
      <formula>J338&lt;15</formula>
    </cfRule>
  </conditionalFormatting>
  <conditionalFormatting sqref="K343 M343 O343">
    <cfRule type="expression" dxfId="429" priority="564">
      <formula>J338&lt;15</formula>
    </cfRule>
  </conditionalFormatting>
  <conditionalFormatting sqref="J344 L344 N344">
    <cfRule type="expression" dxfId="428" priority="565">
      <formula>J338&lt;15</formula>
    </cfRule>
  </conditionalFormatting>
  <conditionalFormatting sqref="K344 M344 O344">
    <cfRule type="expression" dxfId="427" priority="566">
      <formula>J343&lt;15</formula>
    </cfRule>
  </conditionalFormatting>
  <conditionalFormatting sqref="B339 D339 F339 H339 J339 L339 N339">
    <cfRule type="expression" dxfId="426" priority="555">
      <formula>B338&lt;15</formula>
    </cfRule>
  </conditionalFormatting>
  <conditionalFormatting sqref="C339 E339 G339 I339 K339 M339 O339">
    <cfRule type="expression" dxfId="425" priority="556">
      <formula>B338&lt;15</formula>
    </cfRule>
  </conditionalFormatting>
  <conditionalFormatting sqref="B354 D354 F354 H354 J354 L354 N354">
    <cfRule type="expression" dxfId="424" priority="552">
      <formula>B347&lt;15</formula>
    </cfRule>
  </conditionalFormatting>
  <conditionalFormatting sqref="B349 D349 F349 H349 J349 L349 N349">
    <cfRule type="expression" dxfId="423" priority="542">
      <formula>B347&lt;15</formula>
    </cfRule>
  </conditionalFormatting>
  <conditionalFormatting sqref="C349 E349 G349 I349 K349 M349 O349">
    <cfRule type="expression" dxfId="422" priority="543">
      <formula>B347&lt;15</formula>
    </cfRule>
  </conditionalFormatting>
  <conditionalFormatting sqref="C354 E354 G354 I354 K354 M354 O354">
    <cfRule type="expression" dxfId="421" priority="553">
      <formula>B347&lt;15</formula>
    </cfRule>
  </conditionalFormatting>
  <conditionalFormatting sqref="P354">
    <cfRule type="expression" dxfId="420" priority="554">
      <formula>N347&lt;15</formula>
    </cfRule>
  </conditionalFormatting>
  <conditionalFormatting sqref="B350 D350 F350 H350 J350 L350 N350">
    <cfRule type="expression" dxfId="419" priority="544">
      <formula>B347&lt;15</formula>
    </cfRule>
  </conditionalFormatting>
  <conditionalFormatting sqref="C350 E350 G350 I350 K350 M350 O350">
    <cfRule type="expression" dxfId="418" priority="545">
      <formula>B347&lt;15</formula>
    </cfRule>
  </conditionalFormatting>
  <conditionalFormatting sqref="B351 D351 F351 H351 J351 L351 N351">
    <cfRule type="expression" dxfId="417" priority="546">
      <formula>B347&lt;15</formula>
    </cfRule>
  </conditionalFormatting>
  <conditionalFormatting sqref="C351 E351 G351 I351 K351 M351 O351">
    <cfRule type="expression" dxfId="416" priority="547">
      <formula>B347&lt;15</formula>
    </cfRule>
  </conditionalFormatting>
  <conditionalFormatting sqref="B352 D352 F352 H352 J352 L352 N352">
    <cfRule type="expression" dxfId="415" priority="548">
      <formula>B347&lt;15</formula>
    </cfRule>
  </conditionalFormatting>
  <conditionalFormatting sqref="C352 E352 G352 I352 K352 M352 O352">
    <cfRule type="expression" dxfId="414" priority="549">
      <formula>B347&lt;15</formula>
    </cfRule>
  </conditionalFormatting>
  <conditionalFormatting sqref="B353 D353 F353 H353 J353 L353 N353">
    <cfRule type="expression" dxfId="413" priority="550">
      <formula>B347&lt;15</formula>
    </cfRule>
  </conditionalFormatting>
  <conditionalFormatting sqref="C353 E353 G353 I353 K353 M353 O353">
    <cfRule type="expression" dxfId="412" priority="551">
      <formula>B352&lt;15</formula>
    </cfRule>
  </conditionalFormatting>
  <conditionalFormatting sqref="B348 D348 F348 H348 J348 L348 N348">
    <cfRule type="expression" dxfId="411" priority="540">
      <formula>B347&lt;15</formula>
    </cfRule>
  </conditionalFormatting>
  <conditionalFormatting sqref="C348 E348 G348 I348 K348 M348 O348">
    <cfRule type="expression" dxfId="410" priority="541">
      <formula>B347&lt;15</formula>
    </cfRule>
  </conditionalFormatting>
  <conditionalFormatting sqref="B368 D368 F368 H368 J368 L368 N368">
    <cfRule type="expression" dxfId="409" priority="537">
      <formula>B361&gt;15</formula>
    </cfRule>
  </conditionalFormatting>
  <conditionalFormatting sqref="B363 D363 F363 H363 J363 L363 N363">
    <cfRule type="expression" dxfId="408" priority="527">
      <formula>B361&gt;15</formula>
    </cfRule>
  </conditionalFormatting>
  <conditionalFormatting sqref="C363 E363 G363 I363 K363 M363 O363">
    <cfRule type="expression" dxfId="407" priority="528">
      <formula>B361&gt;15</formula>
    </cfRule>
  </conditionalFormatting>
  <conditionalFormatting sqref="C368 E368 G368 I368 K368 M368 O368">
    <cfRule type="expression" dxfId="406" priority="538">
      <formula>B361&gt;15</formula>
    </cfRule>
  </conditionalFormatting>
  <conditionalFormatting sqref="P368">
    <cfRule type="expression" dxfId="405" priority="539">
      <formula>N361&gt;15</formula>
    </cfRule>
  </conditionalFormatting>
  <conditionalFormatting sqref="B364 D364 F364 H364 J364 L364 N364">
    <cfRule type="expression" dxfId="404" priority="529">
      <formula>B361&gt;15</formula>
    </cfRule>
  </conditionalFormatting>
  <conditionalFormatting sqref="C364 E364 G364 I364 K364 M364 O364">
    <cfRule type="expression" dxfId="403" priority="530">
      <formula>B361&gt;15</formula>
    </cfRule>
  </conditionalFormatting>
  <conditionalFormatting sqref="B365 D365 F365 H365 J365 L365 N365">
    <cfRule type="expression" dxfId="402" priority="531">
      <formula>B361&gt;15</formula>
    </cfRule>
  </conditionalFormatting>
  <conditionalFormatting sqref="C365 E365 G365 I365 K365 M365 O365">
    <cfRule type="expression" dxfId="401" priority="532">
      <formula>B361&gt;15</formula>
    </cfRule>
  </conditionalFormatting>
  <conditionalFormatting sqref="B366 D366">
    <cfRule type="expression" dxfId="400" priority="533">
      <formula>B361&gt;15</formula>
    </cfRule>
  </conditionalFormatting>
  <conditionalFormatting sqref="C366 E366">
    <cfRule type="expression" dxfId="399" priority="534">
      <formula>B361&gt;15</formula>
    </cfRule>
  </conditionalFormatting>
  <conditionalFormatting sqref="B367 D367">
    <cfRule type="expression" dxfId="398" priority="535">
      <formula>B361&gt;15</formula>
    </cfRule>
  </conditionalFormatting>
  <conditionalFormatting sqref="C367 E367">
    <cfRule type="expression" dxfId="397" priority="536">
      <formula>B366&gt;15</formula>
    </cfRule>
  </conditionalFormatting>
  <conditionalFormatting sqref="B362 D362 F362 H362 J362 L362 N362">
    <cfRule type="expression" dxfId="396" priority="525">
      <formula>B361&gt;15</formula>
    </cfRule>
  </conditionalFormatting>
  <conditionalFormatting sqref="C362 E362 G362 I362 K362 M362 O362">
    <cfRule type="expression" dxfId="395" priority="526">
      <formula>B361&gt;15</formula>
    </cfRule>
  </conditionalFormatting>
  <conditionalFormatting sqref="B404 D404 F404 H404 J404 L404 N404">
    <cfRule type="expression" dxfId="394" priority="522">
      <formula>B397&lt;15</formula>
    </cfRule>
  </conditionalFormatting>
  <conditionalFormatting sqref="B399 D399 F399 H399 J399">
    <cfRule type="expression" dxfId="393" priority="512">
      <formula>B397&lt;15</formula>
    </cfRule>
  </conditionalFormatting>
  <conditionalFormatting sqref="C399 E399 G399 I399 K399">
    <cfRule type="expression" dxfId="392" priority="513">
      <formula>B397&lt;15</formula>
    </cfRule>
  </conditionalFormatting>
  <conditionalFormatting sqref="C404 E404 G404 I404 K404 M404 O404">
    <cfRule type="expression" dxfId="391" priority="523">
      <formula>B397&lt;15</formula>
    </cfRule>
  </conditionalFormatting>
  <conditionalFormatting sqref="P404">
    <cfRule type="expression" dxfId="390" priority="524">
      <formula>N397&lt;15</formula>
    </cfRule>
  </conditionalFormatting>
  <conditionalFormatting sqref="B400 D400 F400 H400 J400">
    <cfRule type="expression" dxfId="389" priority="514">
      <formula>B397&lt;15</formula>
    </cfRule>
  </conditionalFormatting>
  <conditionalFormatting sqref="C400 E400 G400 I400 K400">
    <cfRule type="expression" dxfId="388" priority="515">
      <formula>B397&lt;15</formula>
    </cfRule>
  </conditionalFormatting>
  <conditionalFormatting sqref="B401 D401 F401 H401 J401">
    <cfRule type="expression" dxfId="387" priority="516">
      <formula>B397&lt;15</formula>
    </cfRule>
  </conditionalFormatting>
  <conditionalFormatting sqref="C401 E401 G401 I401 K401">
    <cfRule type="expression" dxfId="386" priority="517">
      <formula>B397&lt;15</formula>
    </cfRule>
  </conditionalFormatting>
  <conditionalFormatting sqref="B398 D398 F398 H398 J398 L398 N398">
    <cfRule type="expression" dxfId="385" priority="510">
      <formula>B397&lt;15</formula>
    </cfRule>
  </conditionalFormatting>
  <conditionalFormatting sqref="C398 E398 G398 I398 K398 M398 O398">
    <cfRule type="expression" dxfId="384" priority="511">
      <formula>B397&lt;15</formula>
    </cfRule>
  </conditionalFormatting>
  <conditionalFormatting sqref="B413 D413 F413 H413 J413 L413 N413">
    <cfRule type="expression" dxfId="383" priority="507">
      <formula>B406&lt;15</formula>
    </cfRule>
  </conditionalFormatting>
  <conditionalFormatting sqref="B408 D408 F408 H408 J408 L408 N408">
    <cfRule type="expression" dxfId="382" priority="497">
      <formula>B406&lt;15</formula>
    </cfRule>
  </conditionalFormatting>
  <conditionalFormatting sqref="C408 E408 G408 I408 K408 M408 O408">
    <cfRule type="expression" dxfId="381" priority="498">
      <formula>B406&lt;15</formula>
    </cfRule>
  </conditionalFormatting>
  <conditionalFormatting sqref="C413 E413 G413 I413 K413 M413 O413">
    <cfRule type="expression" dxfId="380" priority="508">
      <formula>B406&lt;15</formula>
    </cfRule>
  </conditionalFormatting>
  <conditionalFormatting sqref="P413">
    <cfRule type="expression" dxfId="379" priority="509">
      <formula>N406&lt;15</formula>
    </cfRule>
  </conditionalFormatting>
  <conditionalFormatting sqref="B409 D409 F409 H409 J409 L409 N409">
    <cfRule type="expression" dxfId="378" priority="499">
      <formula>B406&lt;15</formula>
    </cfRule>
  </conditionalFormatting>
  <conditionalFormatting sqref="C409 E409 G409 I409 K409 M409 O409">
    <cfRule type="expression" dxfId="377" priority="500">
      <formula>B406&lt;15</formula>
    </cfRule>
  </conditionalFormatting>
  <conditionalFormatting sqref="B410 D410 F410 H410 J410 L410 N410">
    <cfRule type="expression" dxfId="376" priority="501">
      <formula>B406&lt;15</formula>
    </cfRule>
  </conditionalFormatting>
  <conditionalFormatting sqref="C410 E410 G410 I410 K410 M410 O410">
    <cfRule type="expression" dxfId="375" priority="502">
      <formula>B406&lt;15</formula>
    </cfRule>
  </conditionalFormatting>
  <conditionalFormatting sqref="B411 D411 F411 H411 J411 L411 N411">
    <cfRule type="expression" dxfId="374" priority="503">
      <formula>B406&lt;15</formula>
    </cfRule>
  </conditionalFormatting>
  <conditionalFormatting sqref="C411 E411 G411 I411 K411 M411 O411">
    <cfRule type="expression" dxfId="373" priority="504">
      <formula>B406&lt;15</formula>
    </cfRule>
  </conditionalFormatting>
  <conditionalFormatting sqref="B412 D412 F412 H412 J412 L412 N412">
    <cfRule type="expression" dxfId="372" priority="505">
      <formula>B406&lt;15</formula>
    </cfRule>
  </conditionalFormatting>
  <conditionalFormatting sqref="C412 E412 G412 I412 K412 M412 O412">
    <cfRule type="expression" dxfId="371" priority="506">
      <formula>B411&lt;15</formula>
    </cfRule>
  </conditionalFormatting>
  <conditionalFormatting sqref="B407 D407 F407 H407 J407 L407 N407">
    <cfRule type="expression" dxfId="370" priority="495">
      <formula>B406&lt;15</formula>
    </cfRule>
  </conditionalFormatting>
  <conditionalFormatting sqref="C407 E407 G407 I407 K407 M407 O407">
    <cfRule type="expression" dxfId="369" priority="496">
      <formula>B406&lt;15</formula>
    </cfRule>
  </conditionalFormatting>
  <conditionalFormatting sqref="B427 D427 F427 H427 J427 L427 N427">
    <cfRule type="expression" dxfId="368" priority="492">
      <formula>B420&gt;15</formula>
    </cfRule>
  </conditionalFormatting>
  <conditionalFormatting sqref="C427 E427 G427 I427 K427 M427 O427">
    <cfRule type="expression" dxfId="367" priority="493">
      <formula>B420&gt;15</formula>
    </cfRule>
  </conditionalFormatting>
  <conditionalFormatting sqref="P427">
    <cfRule type="expression" dxfId="366" priority="494">
      <formula>N420&gt;15</formula>
    </cfRule>
  </conditionalFormatting>
  <conditionalFormatting sqref="B421 D421 F421 H421 J421 L421 N421">
    <cfRule type="expression" dxfId="365" priority="480">
      <formula>B420&gt;15</formula>
    </cfRule>
  </conditionalFormatting>
  <conditionalFormatting sqref="C421 E421 G421 I421 K421 M421 O421">
    <cfRule type="expression" dxfId="364" priority="481">
      <formula>B420&gt;15</formula>
    </cfRule>
  </conditionalFormatting>
  <conditionalFormatting sqref="B463 D463 F463 H463 J463 L463 N463">
    <cfRule type="expression" dxfId="363" priority="477">
      <formula>B456&lt;15</formula>
    </cfRule>
  </conditionalFormatting>
  <conditionalFormatting sqref="B458 D458 H458 J458 L458 N458">
    <cfRule type="expression" dxfId="362" priority="467">
      <formula>B456&lt;15</formula>
    </cfRule>
  </conditionalFormatting>
  <conditionalFormatting sqref="C458 E458 I458 K458 M458 O458">
    <cfRule type="expression" dxfId="361" priority="468">
      <formula>B456&lt;15</formula>
    </cfRule>
  </conditionalFormatting>
  <conditionalFormatting sqref="C463 E463 G463 I463 K463 M463 O463">
    <cfRule type="expression" dxfId="360" priority="478">
      <formula>B456&lt;15</formula>
    </cfRule>
  </conditionalFormatting>
  <conditionalFormatting sqref="P463">
    <cfRule type="expression" dxfId="359" priority="479">
      <formula>N456&lt;15</formula>
    </cfRule>
  </conditionalFormatting>
  <conditionalFormatting sqref="B459 D459 H459 J459 L459 N459">
    <cfRule type="expression" dxfId="358" priority="469">
      <formula>B456&lt;15</formula>
    </cfRule>
  </conditionalFormatting>
  <conditionalFormatting sqref="C459 E459 I459 K459 M459 O459">
    <cfRule type="expression" dxfId="357" priority="470">
      <formula>B456&lt;15</formula>
    </cfRule>
  </conditionalFormatting>
  <conditionalFormatting sqref="B460 D460 H460 J460 L460 N460">
    <cfRule type="expression" dxfId="356" priority="471">
      <formula>B456&lt;15</formula>
    </cfRule>
  </conditionalFormatting>
  <conditionalFormatting sqref="C460 E460 I460 K460 M460 O460">
    <cfRule type="expression" dxfId="355" priority="472">
      <formula>B456&lt;15</formula>
    </cfRule>
  </conditionalFormatting>
  <conditionalFormatting sqref="B457 D457 F457 H457 J457 L457 N457">
    <cfRule type="expression" dxfId="354" priority="465">
      <formula>B456&lt;15</formula>
    </cfRule>
  </conditionalFormatting>
  <conditionalFormatting sqref="C457 E457 G457 I457 K457 M457 O457">
    <cfRule type="expression" dxfId="353" priority="466">
      <formula>B456&lt;15</formula>
    </cfRule>
  </conditionalFormatting>
  <conditionalFormatting sqref="B472 D472 F472 H472 J472 L472 N472">
    <cfRule type="expression" dxfId="352" priority="462">
      <formula>B465&lt;15</formula>
    </cfRule>
  </conditionalFormatting>
  <conditionalFormatting sqref="B467 F467 H467 J467 L467 N467">
    <cfRule type="expression" dxfId="351" priority="452">
      <formula>B465&lt;15</formula>
    </cfRule>
  </conditionalFormatting>
  <conditionalFormatting sqref="C467 G467 I467 K467 M467 O467">
    <cfRule type="expression" dxfId="350" priority="453">
      <formula>B465&lt;15</formula>
    </cfRule>
  </conditionalFormatting>
  <conditionalFormatting sqref="C472 E472 G472 I472 K472 M472 O472">
    <cfRule type="expression" dxfId="349" priority="463">
      <formula>B465&lt;15</formula>
    </cfRule>
  </conditionalFormatting>
  <conditionalFormatting sqref="P472">
    <cfRule type="expression" dxfId="348" priority="464">
      <formula>N465&lt;15</formula>
    </cfRule>
  </conditionalFormatting>
  <conditionalFormatting sqref="B468 F468 H468 J468 L468 N468">
    <cfRule type="expression" dxfId="347" priority="454">
      <formula>B465&lt;15</formula>
    </cfRule>
  </conditionalFormatting>
  <conditionalFormatting sqref="C468 G468 I468 K468 M468 O468">
    <cfRule type="expression" dxfId="346" priority="455">
      <formula>B465&lt;15</formula>
    </cfRule>
  </conditionalFormatting>
  <conditionalFormatting sqref="B469 F469 H469 J469 L469 N469">
    <cfRule type="expression" dxfId="345" priority="456">
      <formula>B465&lt;15</formula>
    </cfRule>
  </conditionalFormatting>
  <conditionalFormatting sqref="C469 G469 I469 K469 M469 O469">
    <cfRule type="expression" dxfId="344" priority="457">
      <formula>B465&lt;15</formula>
    </cfRule>
  </conditionalFormatting>
  <conditionalFormatting sqref="F470 H470 J470 L470 N470">
    <cfRule type="expression" dxfId="343" priority="458">
      <formula>F465&lt;15</formula>
    </cfRule>
  </conditionalFormatting>
  <conditionalFormatting sqref="G470 I470 K470 M470 O470">
    <cfRule type="expression" dxfId="342" priority="459">
      <formula>F465&lt;15</formula>
    </cfRule>
  </conditionalFormatting>
  <conditionalFormatting sqref="F471 H471 J471 L471 N471">
    <cfRule type="expression" dxfId="341" priority="460">
      <formula>F465&lt;15</formula>
    </cfRule>
  </conditionalFormatting>
  <conditionalFormatting sqref="G471 I471 K471 M471 O471">
    <cfRule type="expression" dxfId="340" priority="461">
      <formula>F470&lt;15</formula>
    </cfRule>
  </conditionalFormatting>
  <conditionalFormatting sqref="B466 D466 F466 H466 J466 L466 N466">
    <cfRule type="expression" dxfId="339" priority="450">
      <formula>B465&lt;15</formula>
    </cfRule>
  </conditionalFormatting>
  <conditionalFormatting sqref="C466 E466 G466 I466 K466 M466 O466">
    <cfRule type="expression" dxfId="338" priority="451">
      <formula>B465&lt;15</formula>
    </cfRule>
  </conditionalFormatting>
  <conditionalFormatting sqref="B486 D486 F486 H486 J486 L486 N486">
    <cfRule type="expression" dxfId="337" priority="447">
      <formula>B479&gt;15</formula>
    </cfRule>
  </conditionalFormatting>
  <conditionalFormatting sqref="B481 D481 F481 H481 J481 L481 N481">
    <cfRule type="expression" dxfId="336" priority="437">
      <formula>B479&gt;15</formula>
    </cfRule>
  </conditionalFormatting>
  <conditionalFormatting sqref="C481 E481 G481 I481 K481 M481 O481">
    <cfRule type="expression" dxfId="335" priority="438">
      <formula>B479&gt;15</formula>
    </cfRule>
  </conditionalFormatting>
  <conditionalFormatting sqref="C486 E486 G486 I486 K486 M486 O486">
    <cfRule type="expression" dxfId="334" priority="448">
      <formula>B479&gt;15</formula>
    </cfRule>
  </conditionalFormatting>
  <conditionalFormatting sqref="P486">
    <cfRule type="expression" dxfId="333" priority="449">
      <formula>N479&gt;15</formula>
    </cfRule>
  </conditionalFormatting>
  <conditionalFormatting sqref="B482 D482 F482 H482 J482 L482 N482">
    <cfRule type="expression" dxfId="332" priority="439">
      <formula>B479&gt;15</formula>
    </cfRule>
  </conditionalFormatting>
  <conditionalFormatting sqref="C482 E482 G482 I482 K482 M482 O482">
    <cfRule type="expression" dxfId="331" priority="440">
      <formula>B479&gt;15</formula>
    </cfRule>
  </conditionalFormatting>
  <conditionalFormatting sqref="B483 D483 F483 H483 J483 L483 N483">
    <cfRule type="expression" dxfId="330" priority="441">
      <formula>B479&gt;15</formula>
    </cfRule>
  </conditionalFormatting>
  <conditionalFormatting sqref="C483 E483 G483 I483 K483 M483 O483">
    <cfRule type="expression" dxfId="329" priority="442">
      <formula>B479&gt;15</formula>
    </cfRule>
  </conditionalFormatting>
  <conditionalFormatting sqref="B484">
    <cfRule type="expression" dxfId="328" priority="443">
      <formula>B479&gt;15</formula>
    </cfRule>
  </conditionalFormatting>
  <conditionalFormatting sqref="C484">
    <cfRule type="expression" dxfId="327" priority="444">
      <formula>B479&gt;15</formula>
    </cfRule>
  </conditionalFormatting>
  <conditionalFormatting sqref="B485">
    <cfRule type="expression" dxfId="326" priority="445">
      <formula>B479&gt;15</formula>
    </cfRule>
  </conditionalFormatting>
  <conditionalFormatting sqref="C485">
    <cfRule type="expression" dxfId="325" priority="446">
      <formula>B484&gt;15</formula>
    </cfRule>
  </conditionalFormatting>
  <conditionalFormatting sqref="B480 D480 F480 H480 J480 L480 N480">
    <cfRule type="expression" dxfId="324" priority="435">
      <formula>B479&gt;15</formula>
    </cfRule>
  </conditionalFormatting>
  <conditionalFormatting sqref="C480 E480 G480 I480 K480 M480 O480">
    <cfRule type="expression" dxfId="323" priority="436">
      <formula>B479&gt;15</formula>
    </cfRule>
  </conditionalFormatting>
  <conditionalFormatting sqref="B522 D522 F522 H522 J522 L522 N522">
    <cfRule type="expression" dxfId="322" priority="432">
      <formula>B515&lt;15</formula>
    </cfRule>
  </conditionalFormatting>
  <conditionalFormatting sqref="B517 D517 F517 L517 N517">
    <cfRule type="expression" dxfId="321" priority="422">
      <formula>B515&lt;15</formula>
    </cfRule>
  </conditionalFormatting>
  <conditionalFormatting sqref="C517 E517 G517 M517 O517">
    <cfRule type="expression" dxfId="320" priority="423">
      <formula>B515&lt;15</formula>
    </cfRule>
  </conditionalFormatting>
  <conditionalFormatting sqref="C522 E522 G522 I522 K522 M522 O522">
    <cfRule type="expression" dxfId="319" priority="433">
      <formula>B515&lt;15</formula>
    </cfRule>
  </conditionalFormatting>
  <conditionalFormatting sqref="P522">
    <cfRule type="expression" dxfId="318" priority="434">
      <formula>N515&lt;15</formula>
    </cfRule>
  </conditionalFormatting>
  <conditionalFormatting sqref="B518 D518 F518 L518 N518">
    <cfRule type="expression" dxfId="317" priority="424">
      <formula>B515&lt;15</formula>
    </cfRule>
  </conditionalFormatting>
  <conditionalFormatting sqref="C518 E518 G518 M518 O518">
    <cfRule type="expression" dxfId="316" priority="425">
      <formula>B515&lt;15</formula>
    </cfRule>
  </conditionalFormatting>
  <conditionalFormatting sqref="B519 D519 F519 L519 N519">
    <cfRule type="expression" dxfId="315" priority="426">
      <formula>B515&lt;15</formula>
    </cfRule>
  </conditionalFormatting>
  <conditionalFormatting sqref="C519 E519 G519 M519 O519">
    <cfRule type="expression" dxfId="314" priority="427">
      <formula>B515&lt;15</formula>
    </cfRule>
  </conditionalFormatting>
  <conditionalFormatting sqref="B516 D516 F516 H516 J516 L516 N516">
    <cfRule type="expression" dxfId="313" priority="420">
      <formula>B515&lt;15</formula>
    </cfRule>
  </conditionalFormatting>
  <conditionalFormatting sqref="C516 E516 G516 I516 K516 M516 O516">
    <cfRule type="expression" dxfId="312" priority="421">
      <formula>B515&lt;15</formula>
    </cfRule>
  </conditionalFormatting>
  <conditionalFormatting sqref="B531 D531 F531 H531 J531 L531 N531">
    <cfRule type="expression" dxfId="311" priority="417">
      <formula>B524&lt;15</formula>
    </cfRule>
  </conditionalFormatting>
  <conditionalFormatting sqref="B526 D526 F526 H526 J526 L526 N526">
    <cfRule type="expression" dxfId="310" priority="407">
      <formula>B524&lt;15</formula>
    </cfRule>
  </conditionalFormatting>
  <conditionalFormatting sqref="C526 E526 G526 I526 K526 M526 O526">
    <cfRule type="expression" dxfId="309" priority="408">
      <formula>B524&lt;15</formula>
    </cfRule>
  </conditionalFormatting>
  <conditionalFormatting sqref="C531 E531 G531 I531 K531 M531 O531">
    <cfRule type="expression" dxfId="308" priority="418">
      <formula>B524&lt;15</formula>
    </cfRule>
  </conditionalFormatting>
  <conditionalFormatting sqref="P531">
    <cfRule type="expression" dxfId="307" priority="419">
      <formula>N524&lt;15</formula>
    </cfRule>
  </conditionalFormatting>
  <conditionalFormatting sqref="B527 D527 F527 H527 J527 L527 N527">
    <cfRule type="expression" dxfId="306" priority="409">
      <formula>B524&lt;15</formula>
    </cfRule>
  </conditionalFormatting>
  <conditionalFormatting sqref="C527 E527 G527 I527 K527 M527 O527">
    <cfRule type="expression" dxfId="305" priority="410">
      <formula>B524&lt;15</formula>
    </cfRule>
  </conditionalFormatting>
  <conditionalFormatting sqref="B528 D528 F528 H528 J528 L528 N528">
    <cfRule type="expression" dxfId="304" priority="411">
      <formula>B524&lt;15</formula>
    </cfRule>
  </conditionalFormatting>
  <conditionalFormatting sqref="C528 E528 G528 I528 K528 M528 O528">
    <cfRule type="expression" dxfId="303" priority="412">
      <formula>B524&lt;15</formula>
    </cfRule>
  </conditionalFormatting>
  <conditionalFormatting sqref="B529 D529 F529 H529 J529 L529 N529">
    <cfRule type="expression" dxfId="302" priority="413">
      <formula>B524&lt;15</formula>
    </cfRule>
  </conditionalFormatting>
  <conditionalFormatting sqref="C529 E529 G529 I529 K529 M529 O529">
    <cfRule type="expression" dxfId="301" priority="414">
      <formula>B524&lt;15</formula>
    </cfRule>
  </conditionalFormatting>
  <conditionalFormatting sqref="B530 D530 F530 H530 J530 L530 N530">
    <cfRule type="expression" dxfId="300" priority="415">
      <formula>B524&lt;15</formula>
    </cfRule>
  </conditionalFormatting>
  <conditionalFormatting sqref="C530 E530 G530 I530 K530 M530 O530">
    <cfRule type="expression" dxfId="299" priority="416">
      <formula>B529&lt;15</formula>
    </cfRule>
  </conditionalFormatting>
  <conditionalFormatting sqref="B525 D525 F525 H525 J525 L525 N525">
    <cfRule type="expression" dxfId="298" priority="405">
      <formula>B524&lt;15</formula>
    </cfRule>
  </conditionalFormatting>
  <conditionalFormatting sqref="C525 E525 G525 I525 K525 M525 O525">
    <cfRule type="expression" dxfId="297" priority="406">
      <formula>B524&lt;15</formula>
    </cfRule>
  </conditionalFormatting>
  <conditionalFormatting sqref="B545 D545 F545 H545 J545 L545 N545">
    <cfRule type="expression" dxfId="296" priority="402">
      <formula>B538&gt;15</formula>
    </cfRule>
  </conditionalFormatting>
  <conditionalFormatting sqref="B540 D540 F540 H540 J540 L540 N540">
    <cfRule type="expression" dxfId="295" priority="392">
      <formula>B538&gt;15</formula>
    </cfRule>
  </conditionalFormatting>
  <conditionalFormatting sqref="C540 E540 G540 I540 K540 M540 O540">
    <cfRule type="expression" dxfId="294" priority="393">
      <formula>B538&gt;15</formula>
    </cfRule>
  </conditionalFormatting>
  <conditionalFormatting sqref="C545 E545 G545 I545 K545 M545 O545">
    <cfRule type="expression" dxfId="293" priority="403">
      <formula>B538&gt;15</formula>
    </cfRule>
  </conditionalFormatting>
  <conditionalFormatting sqref="P545">
    <cfRule type="expression" dxfId="292" priority="404">
      <formula>N538&gt;15</formula>
    </cfRule>
  </conditionalFormatting>
  <conditionalFormatting sqref="B541 D541 F541 H541 J541 L541 N541">
    <cfRule type="expression" dxfId="291" priority="394">
      <formula>B538&gt;15</formula>
    </cfRule>
  </conditionalFormatting>
  <conditionalFormatting sqref="C541 E541 G541 I541 K541 M541 O541">
    <cfRule type="expression" dxfId="290" priority="395">
      <formula>B538&gt;15</formula>
    </cfRule>
  </conditionalFormatting>
  <conditionalFormatting sqref="B542 D542 F542 H542 J542 L542 N542">
    <cfRule type="expression" dxfId="289" priority="396">
      <formula>B538&gt;15</formula>
    </cfRule>
  </conditionalFormatting>
  <conditionalFormatting sqref="C542 E542 G542 I542 K542 M542 O542">
    <cfRule type="expression" dxfId="288" priority="397">
      <formula>B538&gt;15</formula>
    </cfRule>
  </conditionalFormatting>
  <conditionalFormatting sqref="B543 D543 F543">
    <cfRule type="expression" dxfId="287" priority="398">
      <formula>B538&gt;15</formula>
    </cfRule>
  </conditionalFormatting>
  <conditionalFormatting sqref="C543 E543 G543">
    <cfRule type="expression" dxfId="286" priority="399">
      <formula>B538&gt;15</formula>
    </cfRule>
  </conditionalFormatting>
  <conditionalFormatting sqref="B544 D544 F544">
    <cfRule type="expression" dxfId="285" priority="400">
      <formula>B538&gt;15</formula>
    </cfRule>
  </conditionalFormatting>
  <conditionalFormatting sqref="C544 E544 G544">
    <cfRule type="expression" dxfId="284" priority="401">
      <formula>B543&gt;15</formula>
    </cfRule>
  </conditionalFormatting>
  <conditionalFormatting sqref="B539 D539 F539 H539 J539 L539 N539">
    <cfRule type="expression" dxfId="283" priority="390">
      <formula>B538&gt;15</formula>
    </cfRule>
  </conditionalFormatting>
  <conditionalFormatting sqref="C539 E539 G539 I539 K539 M539 O539">
    <cfRule type="expression" dxfId="282" priority="391">
      <formula>B538&gt;15</formula>
    </cfRule>
  </conditionalFormatting>
  <conditionalFormatting sqref="B581 D581 F581 H581 J581 L581 N581">
    <cfRule type="expression" dxfId="281" priority="387">
      <formula>B574&lt;15</formula>
    </cfRule>
  </conditionalFormatting>
  <conditionalFormatting sqref="B576 D576 F576 H576 J576 L576">
    <cfRule type="expression" dxfId="280" priority="377">
      <formula>B574&lt;15</formula>
    </cfRule>
  </conditionalFormatting>
  <conditionalFormatting sqref="C576 E576 G576 I576 K576 M576">
    <cfRule type="expression" dxfId="279" priority="378">
      <formula>B574&lt;15</formula>
    </cfRule>
  </conditionalFormatting>
  <conditionalFormatting sqref="C581 E581 G581 I581 K581 M581 O581">
    <cfRule type="expression" dxfId="278" priority="388">
      <formula>B574&lt;15</formula>
    </cfRule>
  </conditionalFormatting>
  <conditionalFormatting sqref="P581">
    <cfRule type="expression" dxfId="277" priority="389">
      <formula>N574&lt;15</formula>
    </cfRule>
  </conditionalFormatting>
  <conditionalFormatting sqref="B577 D577 F577 H577 J577 L577">
    <cfRule type="expression" dxfId="276" priority="379">
      <formula>B574&lt;15</formula>
    </cfRule>
  </conditionalFormatting>
  <conditionalFormatting sqref="C577 E577 G577 I577 K577 M577">
    <cfRule type="expression" dxfId="275" priority="380">
      <formula>B574&lt;15</formula>
    </cfRule>
  </conditionalFormatting>
  <conditionalFormatting sqref="B578 D578 F578 H578 J578 L578">
    <cfRule type="expression" dxfId="274" priority="381">
      <formula>B574&lt;15</formula>
    </cfRule>
  </conditionalFormatting>
  <conditionalFormatting sqref="C578 E578 G578 I578 K578 M578">
    <cfRule type="expression" dxfId="273" priority="382">
      <formula>B574&lt;15</formula>
    </cfRule>
  </conditionalFormatting>
  <conditionalFormatting sqref="B575 D575 F575 H575 J575 L575 N575">
    <cfRule type="expression" dxfId="272" priority="375">
      <formula>B574&lt;15</formula>
    </cfRule>
  </conditionalFormatting>
  <conditionalFormatting sqref="C575 E575 G575 I575 K575 M575 O575">
    <cfRule type="expression" dxfId="271" priority="376">
      <formula>B574&lt;15</formula>
    </cfRule>
  </conditionalFormatting>
  <conditionalFormatting sqref="B590 D590 F590 H590 J590 L590 N590">
    <cfRule type="expression" dxfId="270" priority="372">
      <formula>B583&lt;15</formula>
    </cfRule>
  </conditionalFormatting>
  <conditionalFormatting sqref="D585 F585 H585 J585 L585 N585">
    <cfRule type="expression" dxfId="269" priority="362">
      <formula>D583&lt;15</formula>
    </cfRule>
  </conditionalFormatting>
  <conditionalFormatting sqref="E585 G585 I585 K585 M585 O585">
    <cfRule type="expression" dxfId="268" priority="363">
      <formula>D583&lt;15</formula>
    </cfRule>
  </conditionalFormatting>
  <conditionalFormatting sqref="C590 E590 G590 I590 K590 M590 O590">
    <cfRule type="expression" dxfId="267" priority="373">
      <formula>B583&lt;15</formula>
    </cfRule>
  </conditionalFormatting>
  <conditionalFormatting sqref="P590">
    <cfRule type="expression" dxfId="266" priority="374">
      <formula>N583&lt;15</formula>
    </cfRule>
  </conditionalFormatting>
  <conditionalFormatting sqref="D586 F586 H586 J586 L586 N586">
    <cfRule type="expression" dxfId="265" priority="364">
      <formula>D583&lt;15</formula>
    </cfRule>
  </conditionalFormatting>
  <conditionalFormatting sqref="E586 G586 I586 K586 M586 O586">
    <cfRule type="expression" dxfId="264" priority="365">
      <formula>D583&lt;15</formula>
    </cfRule>
  </conditionalFormatting>
  <conditionalFormatting sqref="D587 F587 H587 J587 L587 N587">
    <cfRule type="expression" dxfId="263" priority="366">
      <formula>D583&lt;15</formula>
    </cfRule>
  </conditionalFormatting>
  <conditionalFormatting sqref="E587 G587 I587 K587 M587 O587">
    <cfRule type="expression" dxfId="262" priority="367">
      <formula>D583&lt;15</formula>
    </cfRule>
  </conditionalFormatting>
  <conditionalFormatting sqref="D588 F588 H588 J588 L588 N588">
    <cfRule type="expression" dxfId="261" priority="368">
      <formula>D583&lt;15</formula>
    </cfRule>
  </conditionalFormatting>
  <conditionalFormatting sqref="E588 G588 I588 K588 M588 O588">
    <cfRule type="expression" dxfId="260" priority="369">
      <formula>D583&lt;15</formula>
    </cfRule>
  </conditionalFormatting>
  <conditionalFormatting sqref="D589 F589 H589 J589 L589 N589">
    <cfRule type="expression" dxfId="259" priority="370">
      <formula>D583&lt;15</formula>
    </cfRule>
  </conditionalFormatting>
  <conditionalFormatting sqref="E589 G589 I589 K589 M589 O589">
    <cfRule type="expression" dxfId="258" priority="371">
      <formula>D588&lt;15</formula>
    </cfRule>
  </conditionalFormatting>
  <conditionalFormatting sqref="B584 D584 F584 H584 J584 L584 N584">
    <cfRule type="expression" dxfId="257" priority="360">
      <formula>B583&lt;15</formula>
    </cfRule>
  </conditionalFormatting>
  <conditionalFormatting sqref="C584 E584 G584 I584 K584 M584 O584">
    <cfRule type="expression" dxfId="256" priority="361">
      <formula>B583&lt;15</formula>
    </cfRule>
  </conditionalFormatting>
  <conditionalFormatting sqref="B604 D604 F604 H604 J604 L604 N604">
    <cfRule type="expression" dxfId="255" priority="357">
      <formula>B597&gt;15</formula>
    </cfRule>
  </conditionalFormatting>
  <conditionalFormatting sqref="N599">
    <cfRule type="expression" dxfId="254" priority="347">
      <formula>N597&gt;15</formula>
    </cfRule>
  </conditionalFormatting>
  <conditionalFormatting sqref="O599">
    <cfRule type="expression" dxfId="253" priority="348">
      <formula>N597&gt;15</formula>
    </cfRule>
  </conditionalFormatting>
  <conditionalFormatting sqref="C604 E604 G604 I604 K604 M604 O604">
    <cfRule type="expression" dxfId="252" priority="358">
      <formula>B597&gt;15</formula>
    </cfRule>
  </conditionalFormatting>
  <conditionalFormatting sqref="P604">
    <cfRule type="expression" dxfId="251" priority="359">
      <formula>N597&gt;15</formula>
    </cfRule>
  </conditionalFormatting>
  <conditionalFormatting sqref="N600">
    <cfRule type="expression" dxfId="250" priority="349">
      <formula>N597&gt;15</formula>
    </cfRule>
  </conditionalFormatting>
  <conditionalFormatting sqref="O600">
    <cfRule type="expression" dxfId="249" priority="350">
      <formula>N597&gt;15</formula>
    </cfRule>
  </conditionalFormatting>
  <conditionalFormatting sqref="N601">
    <cfRule type="expression" dxfId="248" priority="351">
      <formula>N597&gt;15</formula>
    </cfRule>
  </conditionalFormatting>
  <conditionalFormatting sqref="O601">
    <cfRule type="expression" dxfId="247" priority="352">
      <formula>N597&gt;15</formula>
    </cfRule>
  </conditionalFormatting>
  <conditionalFormatting sqref="B598 D598 F598 H598 J598 L598 N598">
    <cfRule type="expression" dxfId="246" priority="345">
      <formula>B597&gt;15</formula>
    </cfRule>
  </conditionalFormatting>
  <conditionalFormatting sqref="C598 E598 G598 I598 K598 M598 O598">
    <cfRule type="expression" dxfId="245" priority="346">
      <formula>B597&gt;15</formula>
    </cfRule>
  </conditionalFormatting>
  <conditionalFormatting sqref="B649 D649 F649 H649 J649 L649 N649">
    <cfRule type="expression" dxfId="244" priority="327">
      <formula>B642&lt;15</formula>
    </cfRule>
  </conditionalFormatting>
  <conditionalFormatting sqref="B644 D644 F644 H644 J644 L644 N644">
    <cfRule type="expression" dxfId="243" priority="317">
      <formula>B642&lt;15</formula>
    </cfRule>
  </conditionalFormatting>
  <conditionalFormatting sqref="C644 E644 G644 I644 K644 M644 O644">
    <cfRule type="expression" dxfId="242" priority="318">
      <formula>B642&lt;15</formula>
    </cfRule>
  </conditionalFormatting>
  <conditionalFormatting sqref="C649 E649 G649 I649 K649 M649 O649">
    <cfRule type="expression" dxfId="241" priority="328">
      <formula>B642&lt;15</formula>
    </cfRule>
  </conditionalFormatting>
  <conditionalFormatting sqref="P649">
    <cfRule type="expression" dxfId="240" priority="329">
      <formula>N642&lt;15</formula>
    </cfRule>
  </conditionalFormatting>
  <conditionalFormatting sqref="B645 D645 F645 H645 J645 L645 N645">
    <cfRule type="expression" dxfId="239" priority="319">
      <formula>B642&lt;15</formula>
    </cfRule>
  </conditionalFormatting>
  <conditionalFormatting sqref="C645 E645 G645 I645 K645 M645 O645">
    <cfRule type="expression" dxfId="238" priority="320">
      <formula>B642&lt;15</formula>
    </cfRule>
  </conditionalFormatting>
  <conditionalFormatting sqref="B646 D646 F646 H646 J646 L646 N646">
    <cfRule type="expression" dxfId="237" priority="321">
      <formula>B642&lt;15</formula>
    </cfRule>
  </conditionalFormatting>
  <conditionalFormatting sqref="C646 E646 G646 I646 K646 M646 O646">
    <cfRule type="expression" dxfId="236" priority="322">
      <formula>B642&lt;15</formula>
    </cfRule>
  </conditionalFormatting>
  <conditionalFormatting sqref="D647 F647 H647 J647 L647 N647">
    <cfRule type="expression" dxfId="235" priority="323">
      <formula>D642&lt;15</formula>
    </cfRule>
  </conditionalFormatting>
  <conditionalFormatting sqref="E647 G647 I647 K647 M647 O647">
    <cfRule type="expression" dxfId="234" priority="324">
      <formula>D642&lt;15</formula>
    </cfRule>
  </conditionalFormatting>
  <conditionalFormatting sqref="D648 F648 H648 J648 L648 N648">
    <cfRule type="expression" dxfId="233" priority="325">
      <formula>D642&lt;15</formula>
    </cfRule>
  </conditionalFormatting>
  <conditionalFormatting sqref="E648 G648 I648 K648 M648 O648">
    <cfRule type="expression" dxfId="232" priority="326">
      <formula>D647&lt;15</formula>
    </cfRule>
  </conditionalFormatting>
  <conditionalFormatting sqref="B643 D643 F643 H643 J643 L643 N643">
    <cfRule type="expression" dxfId="231" priority="315">
      <formula>B642&lt;15</formula>
    </cfRule>
  </conditionalFormatting>
  <conditionalFormatting sqref="C643 E643 G643 I643 K643 M643 O643">
    <cfRule type="expression" dxfId="230" priority="316">
      <formula>B642&lt;15</formula>
    </cfRule>
  </conditionalFormatting>
  <conditionalFormatting sqref="B663 D663 F663 H663 J663 L663 N663">
    <cfRule type="expression" dxfId="229" priority="312">
      <formula>B656&gt;15</formula>
    </cfRule>
  </conditionalFormatting>
  <conditionalFormatting sqref="B658 D658 F658 H658 J658 L658 N658">
    <cfRule type="expression" dxfId="228" priority="302">
      <formula>B656&gt;15</formula>
    </cfRule>
  </conditionalFormatting>
  <conditionalFormatting sqref="C658 E658 G658 I658 K658 M658 O658">
    <cfRule type="expression" dxfId="227" priority="303">
      <formula>B656&gt;15</formula>
    </cfRule>
  </conditionalFormatting>
  <conditionalFormatting sqref="C663 E663 G663 I663 K663 M663 O663">
    <cfRule type="expression" dxfId="226" priority="313">
      <formula>B656&gt;15</formula>
    </cfRule>
  </conditionalFormatting>
  <conditionalFormatting sqref="P663">
    <cfRule type="expression" dxfId="225" priority="314">
      <formula>N656&gt;15</formula>
    </cfRule>
  </conditionalFormatting>
  <conditionalFormatting sqref="B659 D659 F659 H659 J659 L659 N659">
    <cfRule type="expression" dxfId="224" priority="304">
      <formula>B656&gt;15</formula>
    </cfRule>
  </conditionalFormatting>
  <conditionalFormatting sqref="C659 E659 G659 I659 K659 M659 O659">
    <cfRule type="expression" dxfId="223" priority="305">
      <formula>B656&gt;15</formula>
    </cfRule>
  </conditionalFormatting>
  <conditionalFormatting sqref="B660 D660 F660 H660 J660 L660 N660">
    <cfRule type="expression" dxfId="222" priority="306">
      <formula>B656&gt;15</formula>
    </cfRule>
  </conditionalFormatting>
  <conditionalFormatting sqref="C660 E660 G660 I660 K660 M660 O660">
    <cfRule type="expression" dxfId="221" priority="307">
      <formula>B656&gt;15</formula>
    </cfRule>
  </conditionalFormatting>
  <conditionalFormatting sqref="B661">
    <cfRule type="expression" dxfId="220" priority="308">
      <formula>B656&gt;15</formula>
    </cfRule>
  </conditionalFormatting>
  <conditionalFormatting sqref="C661">
    <cfRule type="expression" dxfId="219" priority="309">
      <formula>B656&gt;15</formula>
    </cfRule>
  </conditionalFormatting>
  <conditionalFormatting sqref="B662">
    <cfRule type="expression" dxfId="218" priority="310">
      <formula>B656&gt;15</formula>
    </cfRule>
  </conditionalFormatting>
  <conditionalFormatting sqref="C662">
    <cfRule type="expression" dxfId="217" priority="311">
      <formula>B661&gt;15</formula>
    </cfRule>
  </conditionalFormatting>
  <conditionalFormatting sqref="B657 D657 F657 H657 J657 L657 N657">
    <cfRule type="expression" dxfId="216" priority="300">
      <formula>B656&gt;15</formula>
    </cfRule>
  </conditionalFormatting>
  <conditionalFormatting sqref="C657 E657 G657 I657 K657 M657 O657">
    <cfRule type="expression" dxfId="215" priority="301">
      <formula>B656&gt;15</formula>
    </cfRule>
  </conditionalFormatting>
  <conditionalFormatting sqref="B699 D699 F699 H699 J699 L699 N699">
    <cfRule type="expression" dxfId="214" priority="297">
      <formula>B692&lt;15</formula>
    </cfRule>
  </conditionalFormatting>
  <conditionalFormatting sqref="B694 D694 F694 H694 N694">
    <cfRule type="expression" dxfId="213" priority="287">
      <formula>B692&lt;15</formula>
    </cfRule>
  </conditionalFormatting>
  <conditionalFormatting sqref="C694 E694 G694 I694 O694">
    <cfRule type="expression" dxfId="212" priority="288">
      <formula>B692&lt;15</formula>
    </cfRule>
  </conditionalFormatting>
  <conditionalFormatting sqref="C699 E699 G699 I699 K699 M699 O699">
    <cfRule type="expression" dxfId="211" priority="298">
      <formula>B692&lt;15</formula>
    </cfRule>
  </conditionalFormatting>
  <conditionalFormatting sqref="P699">
    <cfRule type="expression" dxfId="210" priority="299">
      <formula>N692&lt;15</formula>
    </cfRule>
  </conditionalFormatting>
  <conditionalFormatting sqref="B695 D695 F695 H695 N695">
    <cfRule type="expression" dxfId="209" priority="289">
      <formula>B692&lt;15</formula>
    </cfRule>
  </conditionalFormatting>
  <conditionalFormatting sqref="C695 E695 G695 I695 O695">
    <cfRule type="expression" dxfId="208" priority="290">
      <formula>B692&lt;15</formula>
    </cfRule>
  </conditionalFormatting>
  <conditionalFormatting sqref="B696 D696 F696 H696 N696">
    <cfRule type="expression" dxfId="207" priority="291">
      <formula>B692&lt;15</formula>
    </cfRule>
  </conditionalFormatting>
  <conditionalFormatting sqref="C696 E696 G696 I696 O696">
    <cfRule type="expression" dxfId="206" priority="292">
      <formula>B692&lt;15</formula>
    </cfRule>
  </conditionalFormatting>
  <conditionalFormatting sqref="B693 D693 F693 H693 J693 L693 N693">
    <cfRule type="expression" dxfId="205" priority="285">
      <formula>B692&lt;15</formula>
    </cfRule>
  </conditionalFormatting>
  <conditionalFormatting sqref="C693 E693 G693 I693 K693 M693 O693">
    <cfRule type="expression" dxfId="204" priority="286">
      <formula>B692&lt;15</formula>
    </cfRule>
  </conditionalFormatting>
  <conditionalFormatting sqref="B708 D708 F708 H708 J708 L708 N708">
    <cfRule type="expression" dxfId="203" priority="282">
      <formula>B701&lt;15</formula>
    </cfRule>
  </conditionalFormatting>
  <conditionalFormatting sqref="B703 D703 F703 H703 J703 L703 N703">
    <cfRule type="expression" dxfId="202" priority="272">
      <formula>B701&lt;15</formula>
    </cfRule>
  </conditionalFormatting>
  <conditionalFormatting sqref="C703 E703 G703 I703 K703 M703 O703">
    <cfRule type="expression" dxfId="201" priority="273">
      <formula>B701&lt;15</formula>
    </cfRule>
  </conditionalFormatting>
  <conditionalFormatting sqref="C708 E708 G708 I708 K708 M708 O708">
    <cfRule type="expression" dxfId="200" priority="283">
      <formula>B701&lt;15</formula>
    </cfRule>
  </conditionalFormatting>
  <conditionalFormatting sqref="P708">
    <cfRule type="expression" dxfId="199" priority="284">
      <formula>N701&lt;15</formula>
    </cfRule>
  </conditionalFormatting>
  <conditionalFormatting sqref="B704 D704 F704 H704 J704 L704 N704">
    <cfRule type="expression" dxfId="198" priority="274">
      <formula>B701&lt;15</formula>
    </cfRule>
  </conditionalFormatting>
  <conditionalFormatting sqref="C704 E704 G704 I704 K704 M704 O704">
    <cfRule type="expression" dxfId="197" priority="275">
      <formula>B701&lt;15</formula>
    </cfRule>
  </conditionalFormatting>
  <conditionalFormatting sqref="B705 D705 F705 H705 J705 L705 N705">
    <cfRule type="expression" dxfId="196" priority="276">
      <formula>B701&lt;15</formula>
    </cfRule>
  </conditionalFormatting>
  <conditionalFormatting sqref="C705 E705 G705 I705 K705 M705 O705">
    <cfRule type="expression" dxfId="195" priority="277">
      <formula>B701&lt;15</formula>
    </cfRule>
  </conditionalFormatting>
  <conditionalFormatting sqref="B706 D706 F706 H706 J706 L706 N706">
    <cfRule type="expression" dxfId="194" priority="278">
      <formula>B701&lt;15</formula>
    </cfRule>
  </conditionalFormatting>
  <conditionalFormatting sqref="C706 E706 G706 I706 K706 M706 O706">
    <cfRule type="expression" dxfId="193" priority="279">
      <formula>B701&lt;15</formula>
    </cfRule>
  </conditionalFormatting>
  <conditionalFormatting sqref="B707 D707 F707 H707 J707 L707 N707">
    <cfRule type="expression" dxfId="192" priority="280">
      <formula>B701&lt;15</formula>
    </cfRule>
  </conditionalFormatting>
  <conditionalFormatting sqref="C707 E707 G707 I707 K707 M707 O707">
    <cfRule type="expression" dxfId="191" priority="281">
      <formula>B706&lt;15</formula>
    </cfRule>
  </conditionalFormatting>
  <conditionalFormatting sqref="B702 D702 F702 H702 J702 L702 N702">
    <cfRule type="expression" dxfId="190" priority="270">
      <formula>B701&lt;15</formula>
    </cfRule>
  </conditionalFormatting>
  <conditionalFormatting sqref="C702 E702 G702 I702 K702 M702 O702">
    <cfRule type="expression" dxfId="189" priority="271">
      <formula>B701&lt;15</formula>
    </cfRule>
  </conditionalFormatting>
  <conditionalFormatting sqref="B7:O7">
    <cfRule type="expression" dxfId="188" priority="187">
      <formula>B7&gt;15</formula>
    </cfRule>
  </conditionalFormatting>
  <conditionalFormatting sqref="B66:O66">
    <cfRule type="expression" dxfId="187" priority="184">
      <formula>B66&gt;15</formula>
    </cfRule>
  </conditionalFormatting>
  <conditionalFormatting sqref="B102:O102">
    <cfRule type="expression" dxfId="186" priority="183">
      <formula>B102&lt;15</formula>
    </cfRule>
  </conditionalFormatting>
  <conditionalFormatting sqref="B111:O111">
    <cfRule type="expression" dxfId="185" priority="182">
      <formula>B111&lt;15</formula>
    </cfRule>
  </conditionalFormatting>
  <conditionalFormatting sqref="B125:O125">
    <cfRule type="expression" dxfId="184" priority="181">
      <formula>B125&gt;15</formula>
    </cfRule>
  </conditionalFormatting>
  <conditionalFormatting sqref="B161:O161">
    <cfRule type="expression" dxfId="183" priority="180">
      <formula>B161&lt;15</formula>
    </cfRule>
  </conditionalFormatting>
  <conditionalFormatting sqref="B170:O170">
    <cfRule type="expression" dxfId="182" priority="179">
      <formula>B170&lt;15</formula>
    </cfRule>
  </conditionalFormatting>
  <conditionalFormatting sqref="B184:O184">
    <cfRule type="expression" dxfId="181" priority="178">
      <formula>B184&gt;15</formula>
    </cfRule>
  </conditionalFormatting>
  <conditionalFormatting sqref="B220:O220">
    <cfRule type="expression" dxfId="180" priority="177">
      <formula>B220&lt;15</formula>
    </cfRule>
  </conditionalFormatting>
  <conditionalFormatting sqref="B229:O229">
    <cfRule type="expression" dxfId="179" priority="176">
      <formula>B229&lt;15</formula>
    </cfRule>
  </conditionalFormatting>
  <conditionalFormatting sqref="B243:O243">
    <cfRule type="expression" dxfId="178" priority="175">
      <formula>B243&gt;15</formula>
    </cfRule>
  </conditionalFormatting>
  <conditionalFormatting sqref="B279:O279">
    <cfRule type="expression" dxfId="177" priority="174">
      <formula>B279&lt;15</formula>
    </cfRule>
  </conditionalFormatting>
  <conditionalFormatting sqref="B288:O288">
    <cfRule type="expression" dxfId="176" priority="173">
      <formula>B288&lt;15</formula>
    </cfRule>
  </conditionalFormatting>
  <conditionalFormatting sqref="B302:O302">
    <cfRule type="expression" dxfId="175" priority="172">
      <formula>B302&gt;15</formula>
    </cfRule>
  </conditionalFormatting>
  <conditionalFormatting sqref="B338:O338">
    <cfRule type="expression" dxfId="174" priority="171">
      <formula>B338&lt;15</formula>
    </cfRule>
  </conditionalFormatting>
  <conditionalFormatting sqref="B347:O347">
    <cfRule type="expression" dxfId="173" priority="170">
      <formula>B347&lt;15</formula>
    </cfRule>
  </conditionalFormatting>
  <conditionalFormatting sqref="B361:O361">
    <cfRule type="expression" dxfId="172" priority="169">
      <formula>B361&gt;15</formula>
    </cfRule>
  </conditionalFormatting>
  <conditionalFormatting sqref="B397:O397">
    <cfRule type="expression" dxfId="171" priority="168">
      <formula>B397&lt;15</formula>
    </cfRule>
  </conditionalFormatting>
  <conditionalFormatting sqref="B406:O406">
    <cfRule type="expression" dxfId="170" priority="167">
      <formula>B406&lt;15</formula>
    </cfRule>
  </conditionalFormatting>
  <conditionalFormatting sqref="B420:O420">
    <cfRule type="expression" dxfId="169" priority="166">
      <formula>B420&gt;15</formula>
    </cfRule>
  </conditionalFormatting>
  <conditionalFormatting sqref="B456:O456">
    <cfRule type="expression" dxfId="168" priority="165">
      <formula>B456&lt;15</formula>
    </cfRule>
  </conditionalFormatting>
  <conditionalFormatting sqref="B465:O465">
    <cfRule type="expression" dxfId="167" priority="164">
      <formula>B465&lt;15</formula>
    </cfRule>
  </conditionalFormatting>
  <conditionalFormatting sqref="B479:O479">
    <cfRule type="expression" dxfId="166" priority="163">
      <formula>B479&gt;15</formula>
    </cfRule>
  </conditionalFormatting>
  <conditionalFormatting sqref="B515:O515">
    <cfRule type="expression" dxfId="165" priority="162">
      <formula>B515&lt;15</formula>
    </cfRule>
  </conditionalFormatting>
  <conditionalFormatting sqref="B524:O524">
    <cfRule type="expression" dxfId="164" priority="161">
      <formula>B524&lt;15</formula>
    </cfRule>
  </conditionalFormatting>
  <conditionalFormatting sqref="B538:O538">
    <cfRule type="expression" dxfId="163" priority="160">
      <formula>B538&gt;15</formula>
    </cfRule>
  </conditionalFormatting>
  <conditionalFormatting sqref="B701:O701">
    <cfRule type="expression" dxfId="162" priority="152">
      <formula>B701&lt;15</formula>
    </cfRule>
  </conditionalFormatting>
  <conditionalFormatting sqref="B692:O692">
    <cfRule type="expression" dxfId="161" priority="153">
      <formula>B692&lt;15</formula>
    </cfRule>
  </conditionalFormatting>
  <conditionalFormatting sqref="B583:O583">
    <cfRule type="expression" dxfId="160" priority="159">
      <formula>B583&lt;15</formula>
    </cfRule>
  </conditionalFormatting>
  <conditionalFormatting sqref="B574:O574">
    <cfRule type="expression" dxfId="159" priority="158">
      <formula>B574&lt;15</formula>
    </cfRule>
  </conditionalFormatting>
  <conditionalFormatting sqref="B597:O597">
    <cfRule type="expression" dxfId="158" priority="157">
      <formula>B597&gt;15</formula>
    </cfRule>
  </conditionalFormatting>
  <conditionalFormatting sqref="B633:O633">
    <cfRule type="expression" dxfId="157" priority="156">
      <formula>B633&lt;15</formula>
    </cfRule>
  </conditionalFormatting>
  <conditionalFormatting sqref="B642:O642">
    <cfRule type="expression" dxfId="156" priority="155">
      <formula>B642&lt;15</formula>
    </cfRule>
  </conditionalFormatting>
  <conditionalFormatting sqref="B656:O656">
    <cfRule type="expression" dxfId="155" priority="154">
      <formula>B656&gt;15</formula>
    </cfRule>
  </conditionalFormatting>
  <conditionalFormatting sqref="C9">
    <cfRule type="expression" dxfId="154" priority="80">
      <formula>B7&gt;15</formula>
    </cfRule>
  </conditionalFormatting>
  <conditionalFormatting sqref="C10">
    <cfRule type="expression" dxfId="153" priority="81">
      <formula>B7&gt;15</formula>
    </cfRule>
  </conditionalFormatting>
  <conditionalFormatting sqref="C11">
    <cfRule type="expression" dxfId="152" priority="82">
      <formula>B7&gt;15</formula>
    </cfRule>
  </conditionalFormatting>
  <conditionalFormatting sqref="D9">
    <cfRule type="expression" dxfId="151" priority="37">
      <formula>D7&gt;15</formula>
    </cfRule>
  </conditionalFormatting>
  <conditionalFormatting sqref="B14 D14 F14 H14 J14 L14 N14">
    <cfRule type="expression" dxfId="150" priority="150">
      <formula>B7&gt;15</formula>
    </cfRule>
  </conditionalFormatting>
  <conditionalFormatting sqref="E12:E13">
    <cfRule type="expression" dxfId="149" priority="143">
      <formula>D10&gt;15</formula>
    </cfRule>
  </conditionalFormatting>
  <conditionalFormatting sqref="C14 E14 G14 I14 K14 M14 O14">
    <cfRule type="expression" dxfId="148" priority="151">
      <formula>B7&gt;15</formula>
    </cfRule>
  </conditionalFormatting>
  <conditionalFormatting sqref="D10">
    <cfRule type="expression" dxfId="147" priority="144">
      <formula>D7&gt;15</formula>
    </cfRule>
  </conditionalFormatting>
  <conditionalFormatting sqref="D11">
    <cfRule type="expression" dxfId="146" priority="145">
      <formula>D7&gt;15</formula>
    </cfRule>
  </conditionalFormatting>
  <conditionalFormatting sqref="B12 D12 F12 H12 J12 L12 N12">
    <cfRule type="expression" dxfId="145" priority="146">
      <formula>B7&gt;15</formula>
    </cfRule>
  </conditionalFormatting>
  <conditionalFormatting sqref="C12 E12 G12 I12 K12 M12 O12">
    <cfRule type="expression" dxfId="144" priority="147">
      <formula>B7&gt;15</formula>
    </cfRule>
  </conditionalFormatting>
  <conditionalFormatting sqref="B13 D13 F13 H13 J13 L13 N13">
    <cfRule type="expression" dxfId="143" priority="148">
      <formula>B7&gt;15</formula>
    </cfRule>
  </conditionalFormatting>
  <conditionalFormatting sqref="B8 D8 F8 H8 J8 L8 N8">
    <cfRule type="expression" dxfId="142" priority="141">
      <formula>B7&gt;15</formula>
    </cfRule>
  </conditionalFormatting>
  <conditionalFormatting sqref="C8 E8 G8 I8 K8 M8 O8">
    <cfRule type="expression" dxfId="141" priority="142">
      <formula>B7&gt;15</formula>
    </cfRule>
  </conditionalFormatting>
  <conditionalFormatting sqref="B50 D50 F50 H50 J50 L50 N50">
    <cfRule type="expression" dxfId="140" priority="139">
      <formula>B43&lt;15</formula>
    </cfRule>
  </conditionalFormatting>
  <conditionalFormatting sqref="B45 D45 F45 H45 J45">
    <cfRule type="expression" dxfId="139" priority="129">
      <formula>B43&lt;15</formula>
    </cfRule>
  </conditionalFormatting>
  <conditionalFormatting sqref="C45 E45 G45 I45 K45">
    <cfRule type="expression" dxfId="138" priority="130">
      <formula>B43&lt;15</formula>
    </cfRule>
  </conditionalFormatting>
  <conditionalFormatting sqref="C50 E50 G50 I50 K50 M50 O50">
    <cfRule type="expression" dxfId="137" priority="140">
      <formula>B43&lt;15</formula>
    </cfRule>
  </conditionalFormatting>
  <conditionalFormatting sqref="B46 D46 F46 H46 J46">
    <cfRule type="expression" dxfId="136" priority="131">
      <formula>B43&lt;15</formula>
    </cfRule>
  </conditionalFormatting>
  <conditionalFormatting sqref="C46 E46 G46 I46 K46">
    <cfRule type="expression" dxfId="135" priority="132">
      <formula>B43&lt;15</formula>
    </cfRule>
  </conditionalFormatting>
  <conditionalFormatting sqref="B47 D47 F47 H47 J47">
    <cfRule type="expression" dxfId="134" priority="133">
      <formula>B43&lt;15</formula>
    </cfRule>
  </conditionalFormatting>
  <conditionalFormatting sqref="C47 E47 G47 I47 K47">
    <cfRule type="expression" dxfId="133" priority="134">
      <formula>B43&lt;15</formula>
    </cfRule>
  </conditionalFormatting>
  <conditionalFormatting sqref="B44 D44 F44 H44 J44 L44 N44">
    <cfRule type="expression" dxfId="132" priority="127">
      <formula>B43&lt;15</formula>
    </cfRule>
  </conditionalFormatting>
  <conditionalFormatting sqref="C44 E44 G44 I44 K44 M44 O44">
    <cfRule type="expression" dxfId="131" priority="128">
      <formula>B43&lt;15</formula>
    </cfRule>
  </conditionalFormatting>
  <conditionalFormatting sqref="D54 F54 H54 J54 L54 N54">
    <cfRule type="expression" dxfId="130" priority="121">
      <formula>D52&lt;15</formula>
    </cfRule>
  </conditionalFormatting>
  <conditionalFormatting sqref="E54 G54 I54 K54 M54 O54">
    <cfRule type="expression" dxfId="129" priority="122">
      <formula>D52&lt;15</formula>
    </cfRule>
  </conditionalFormatting>
  <conditionalFormatting sqref="D55 F55 H55 J55 L55 N55">
    <cfRule type="expression" dxfId="128" priority="123">
      <formula>D52&lt;15</formula>
    </cfRule>
  </conditionalFormatting>
  <conditionalFormatting sqref="E55 G55 I55 K55 M55 O55">
    <cfRule type="expression" dxfId="127" priority="124">
      <formula>D52&lt;15</formula>
    </cfRule>
  </conditionalFormatting>
  <conditionalFormatting sqref="D56 F56 H56 J56 L56 N56">
    <cfRule type="expression" dxfId="126" priority="125">
      <formula>D52&lt;15</formula>
    </cfRule>
  </conditionalFormatting>
  <conditionalFormatting sqref="E56 G56 I56 K56 M56 O56">
    <cfRule type="expression" dxfId="125" priority="126">
      <formula>D52&lt;15</formula>
    </cfRule>
  </conditionalFormatting>
  <conditionalFormatting sqref="B53 D53 F53 H53 J53 L53 N53">
    <cfRule type="expression" dxfId="124" priority="119">
      <formula>B52&lt;15</formula>
    </cfRule>
  </conditionalFormatting>
  <conditionalFormatting sqref="C53 E53 G53 I53 K53 M53 O53">
    <cfRule type="expression" dxfId="123" priority="120">
      <formula>B52&lt;15</formula>
    </cfRule>
  </conditionalFormatting>
  <conditionalFormatting sqref="C18">
    <cfRule type="expression" dxfId="122" priority="38">
      <formula>B16&gt;15</formula>
    </cfRule>
  </conditionalFormatting>
  <conditionalFormatting sqref="E9">
    <cfRule type="expression" dxfId="121" priority="116">
      <formula>D7&gt;15</formula>
    </cfRule>
  </conditionalFormatting>
  <conditionalFormatting sqref="E10">
    <cfRule type="expression" dxfId="120" priority="117">
      <formula>D7&gt;15</formula>
    </cfRule>
  </conditionalFormatting>
  <conditionalFormatting sqref="E11">
    <cfRule type="expression" dxfId="119" priority="118">
      <formula>D7&gt;15</formula>
    </cfRule>
  </conditionalFormatting>
  <conditionalFormatting sqref="F9">
    <cfRule type="expression" dxfId="118" priority="113">
      <formula>F7&gt;15</formula>
    </cfRule>
  </conditionalFormatting>
  <conditionalFormatting sqref="F10">
    <cfRule type="expression" dxfId="117" priority="114">
      <formula>F7&gt;15</formula>
    </cfRule>
  </conditionalFormatting>
  <conditionalFormatting sqref="F11">
    <cfRule type="expression" dxfId="116" priority="115">
      <formula>F7&gt;15</formula>
    </cfRule>
  </conditionalFormatting>
  <conditionalFormatting sqref="H9">
    <cfRule type="expression" dxfId="115" priority="110">
      <formula>H7&gt;15</formula>
    </cfRule>
  </conditionalFormatting>
  <conditionalFormatting sqref="H10">
    <cfRule type="expression" dxfId="114" priority="111">
      <formula>H7&gt;15</formula>
    </cfRule>
  </conditionalFormatting>
  <conditionalFormatting sqref="H11">
    <cfRule type="expression" dxfId="113" priority="112">
      <formula>H7&gt;15</formula>
    </cfRule>
  </conditionalFormatting>
  <conditionalFormatting sqref="J9">
    <cfRule type="expression" dxfId="112" priority="107">
      <formula>J7&gt;15</formula>
    </cfRule>
  </conditionalFormatting>
  <conditionalFormatting sqref="J10">
    <cfRule type="expression" dxfId="111" priority="108">
      <formula>J7&gt;15</formula>
    </cfRule>
  </conditionalFormatting>
  <conditionalFormatting sqref="J11">
    <cfRule type="expression" dxfId="110" priority="109">
      <formula>J7&gt;15</formula>
    </cfRule>
  </conditionalFormatting>
  <conditionalFormatting sqref="L9">
    <cfRule type="expression" dxfId="109" priority="104">
      <formula>L7&gt;15</formula>
    </cfRule>
  </conditionalFormatting>
  <conditionalFormatting sqref="L10">
    <cfRule type="expression" dxfId="108" priority="105">
      <formula>L7&gt;15</formula>
    </cfRule>
  </conditionalFormatting>
  <conditionalFormatting sqref="L11">
    <cfRule type="expression" dxfId="107" priority="106">
      <formula>L7&gt;15</formula>
    </cfRule>
  </conditionalFormatting>
  <conditionalFormatting sqref="N9">
    <cfRule type="expression" dxfId="106" priority="101">
      <formula>N7&gt;15</formula>
    </cfRule>
  </conditionalFormatting>
  <conditionalFormatting sqref="N10">
    <cfRule type="expression" dxfId="105" priority="102">
      <formula>N7&gt;15</formula>
    </cfRule>
  </conditionalFormatting>
  <conditionalFormatting sqref="N11">
    <cfRule type="expression" dxfId="104" priority="103">
      <formula>N7&gt;15</formula>
    </cfRule>
  </conditionalFormatting>
  <conditionalFormatting sqref="B9">
    <cfRule type="expression" dxfId="103" priority="98">
      <formula>B7&gt;15</formula>
    </cfRule>
  </conditionalFormatting>
  <conditionalFormatting sqref="B10">
    <cfRule type="expression" dxfId="102" priority="99">
      <formula>B7&gt;15</formula>
    </cfRule>
  </conditionalFormatting>
  <conditionalFormatting sqref="B11">
    <cfRule type="expression" dxfId="101" priority="100">
      <formula>B7&gt;15</formula>
    </cfRule>
  </conditionalFormatting>
  <conditionalFormatting sqref="G9">
    <cfRule type="expression" dxfId="100" priority="95">
      <formula>F7&gt;15</formula>
    </cfRule>
  </conditionalFormatting>
  <conditionalFormatting sqref="G10">
    <cfRule type="expression" dxfId="99" priority="96">
      <formula>F7&gt;15</formula>
    </cfRule>
  </conditionalFormatting>
  <conditionalFormatting sqref="G11">
    <cfRule type="expression" dxfId="98" priority="97">
      <formula>F7&gt;15</formula>
    </cfRule>
  </conditionalFormatting>
  <conditionalFormatting sqref="I9">
    <cfRule type="expression" dxfId="97" priority="92">
      <formula>H7&gt;15</formula>
    </cfRule>
  </conditionalFormatting>
  <conditionalFormatting sqref="I10">
    <cfRule type="expression" dxfId="96" priority="93">
      <formula>H7&gt;15</formula>
    </cfRule>
  </conditionalFormatting>
  <conditionalFormatting sqref="I11">
    <cfRule type="expression" dxfId="95" priority="94">
      <formula>H7&gt;15</formula>
    </cfRule>
  </conditionalFormatting>
  <conditionalFormatting sqref="K9">
    <cfRule type="expression" dxfId="94" priority="89">
      <formula>J7&gt;15</formula>
    </cfRule>
  </conditionalFormatting>
  <conditionalFormatting sqref="K10">
    <cfRule type="expression" dxfId="93" priority="90">
      <formula>J7&gt;15</formula>
    </cfRule>
  </conditionalFormatting>
  <conditionalFormatting sqref="K11">
    <cfRule type="expression" dxfId="92" priority="91">
      <formula>J7&gt;15</formula>
    </cfRule>
  </conditionalFormatting>
  <conditionalFormatting sqref="M9">
    <cfRule type="expression" dxfId="91" priority="86">
      <formula>L7&gt;15</formula>
    </cfRule>
  </conditionalFormatting>
  <conditionalFormatting sqref="M10">
    <cfRule type="expression" dxfId="90" priority="87">
      <formula>L7&gt;15</formula>
    </cfRule>
  </conditionalFormatting>
  <conditionalFormatting sqref="M11">
    <cfRule type="expression" dxfId="89" priority="88">
      <formula>L7&gt;15</formula>
    </cfRule>
  </conditionalFormatting>
  <conditionalFormatting sqref="O9">
    <cfRule type="expression" dxfId="88" priority="83">
      <formula>N7&gt;15</formula>
    </cfRule>
  </conditionalFormatting>
  <conditionalFormatting sqref="O10">
    <cfRule type="expression" dxfId="87" priority="84">
      <formula>N7&gt;15</formula>
    </cfRule>
  </conditionalFormatting>
  <conditionalFormatting sqref="O11">
    <cfRule type="expression" dxfId="86" priority="85">
      <formula>N7&gt;15</formula>
    </cfRule>
  </conditionalFormatting>
  <conditionalFormatting sqref="D18">
    <cfRule type="expression" dxfId="85" priority="77">
      <formula>D16&gt;15</formula>
    </cfRule>
  </conditionalFormatting>
  <conditionalFormatting sqref="D19">
    <cfRule type="expression" dxfId="84" priority="78">
      <formula>D16&gt;15</formula>
    </cfRule>
  </conditionalFormatting>
  <conditionalFormatting sqref="D20">
    <cfRule type="expression" dxfId="83" priority="79">
      <formula>D16&gt;15</formula>
    </cfRule>
  </conditionalFormatting>
  <conditionalFormatting sqref="E18">
    <cfRule type="expression" dxfId="82" priority="74">
      <formula>D16&gt;15</formula>
    </cfRule>
  </conditionalFormatting>
  <conditionalFormatting sqref="E19">
    <cfRule type="expression" dxfId="81" priority="75">
      <formula>D16&gt;15</formula>
    </cfRule>
  </conditionalFormatting>
  <conditionalFormatting sqref="E20">
    <cfRule type="expression" dxfId="80" priority="76">
      <formula>D16&gt;15</formula>
    </cfRule>
  </conditionalFormatting>
  <conditionalFormatting sqref="F19">
    <cfRule type="expression" dxfId="79" priority="72">
      <formula>F16&gt;15</formula>
    </cfRule>
  </conditionalFormatting>
  <conditionalFormatting sqref="F20">
    <cfRule type="expression" dxfId="78" priority="73">
      <formula>F16&gt;15</formula>
    </cfRule>
  </conditionalFormatting>
  <conditionalFormatting sqref="H18">
    <cfRule type="expression" dxfId="77" priority="68">
      <formula>H16&gt;15</formula>
    </cfRule>
  </conditionalFormatting>
  <conditionalFormatting sqref="H19">
    <cfRule type="expression" dxfId="76" priority="69">
      <formula>H16&gt;15</formula>
    </cfRule>
  </conditionalFormatting>
  <conditionalFormatting sqref="J18">
    <cfRule type="expression" dxfId="75" priority="65">
      <formula>J16&gt;15</formula>
    </cfRule>
  </conditionalFormatting>
  <conditionalFormatting sqref="J20">
    <cfRule type="expression" dxfId="74" priority="67">
      <formula>J16&gt;15</formula>
    </cfRule>
  </conditionalFormatting>
  <conditionalFormatting sqref="L18">
    <cfRule type="expression" dxfId="73" priority="62">
      <formula>L16&gt;15</formula>
    </cfRule>
  </conditionalFormatting>
  <conditionalFormatting sqref="L19">
    <cfRule type="expression" dxfId="72" priority="63">
      <formula>L16&gt;15</formula>
    </cfRule>
  </conditionalFormatting>
  <conditionalFormatting sqref="L20">
    <cfRule type="expression" dxfId="71" priority="64">
      <formula>L16&gt;15</formula>
    </cfRule>
  </conditionalFormatting>
  <conditionalFormatting sqref="N18">
    <cfRule type="expression" dxfId="70" priority="59">
      <formula>N16&gt;15</formula>
    </cfRule>
  </conditionalFormatting>
  <conditionalFormatting sqref="N19">
    <cfRule type="expression" dxfId="69" priority="60">
      <formula>N16&gt;15</formula>
    </cfRule>
  </conditionalFormatting>
  <conditionalFormatting sqref="N20">
    <cfRule type="expression" dxfId="68" priority="61">
      <formula>N16&gt;15</formula>
    </cfRule>
  </conditionalFormatting>
  <conditionalFormatting sqref="B18">
    <cfRule type="expression" dxfId="67" priority="56">
      <formula>B16&gt;15</formula>
    </cfRule>
  </conditionalFormatting>
  <conditionalFormatting sqref="B19">
    <cfRule type="expression" dxfId="66" priority="57">
      <formula>B16&gt;15</formula>
    </cfRule>
  </conditionalFormatting>
  <conditionalFormatting sqref="B20">
    <cfRule type="expression" dxfId="65" priority="58">
      <formula>B16&gt;15</formula>
    </cfRule>
  </conditionalFormatting>
  <conditionalFormatting sqref="G18">
    <cfRule type="expression" dxfId="64" priority="53">
      <formula>F16&gt;15</formula>
    </cfRule>
  </conditionalFormatting>
  <conditionalFormatting sqref="G19">
    <cfRule type="expression" dxfId="63" priority="54">
      <formula>F16&gt;15</formula>
    </cfRule>
  </conditionalFormatting>
  <conditionalFormatting sqref="G20">
    <cfRule type="expression" dxfId="62" priority="55">
      <formula>F16&gt;15</formula>
    </cfRule>
  </conditionalFormatting>
  <conditionalFormatting sqref="I18">
    <cfRule type="expression" dxfId="61" priority="50">
      <formula>H16&gt;15</formula>
    </cfRule>
  </conditionalFormatting>
  <conditionalFormatting sqref="I19">
    <cfRule type="expression" dxfId="60" priority="51">
      <formula>H16&gt;15</formula>
    </cfRule>
  </conditionalFormatting>
  <conditionalFormatting sqref="I20">
    <cfRule type="expression" dxfId="59" priority="52">
      <formula>H16&gt;15</formula>
    </cfRule>
  </conditionalFormatting>
  <conditionalFormatting sqref="K18">
    <cfRule type="expression" dxfId="58" priority="47">
      <formula>J16&gt;15</formula>
    </cfRule>
  </conditionalFormatting>
  <conditionalFormatting sqref="K19">
    <cfRule type="expression" dxfId="57" priority="48">
      <formula>J16&gt;15</formula>
    </cfRule>
  </conditionalFormatting>
  <conditionalFormatting sqref="K20">
    <cfRule type="expression" dxfId="56" priority="49">
      <formula>J16&gt;15</formula>
    </cfRule>
  </conditionalFormatting>
  <conditionalFormatting sqref="M18">
    <cfRule type="expression" dxfId="55" priority="44">
      <formula>L16&gt;15</formula>
    </cfRule>
  </conditionalFormatting>
  <conditionalFormatting sqref="M19">
    <cfRule type="expression" dxfId="54" priority="45">
      <formula>L16&gt;15</formula>
    </cfRule>
  </conditionalFormatting>
  <conditionalFormatting sqref="M20">
    <cfRule type="expression" dxfId="53" priority="46">
      <formula>L16&gt;15</formula>
    </cfRule>
  </conditionalFormatting>
  <conditionalFormatting sqref="O18">
    <cfRule type="expression" dxfId="52" priority="41">
      <formula>N16&gt;15</formula>
    </cfRule>
  </conditionalFormatting>
  <conditionalFormatting sqref="O19">
    <cfRule type="expression" dxfId="51" priority="42">
      <formula>N16&gt;15</formula>
    </cfRule>
  </conditionalFormatting>
  <conditionalFormatting sqref="O20">
    <cfRule type="expression" dxfId="50" priority="43">
      <formula>N16&gt;15</formula>
    </cfRule>
  </conditionalFormatting>
  <conditionalFormatting sqref="C19">
    <cfRule type="expression" dxfId="49" priority="39">
      <formula>B16&gt;15</formula>
    </cfRule>
  </conditionalFormatting>
  <conditionalFormatting sqref="C20">
    <cfRule type="expression" dxfId="48" priority="40">
      <formula>B16&gt;15</formula>
    </cfRule>
  </conditionalFormatting>
  <conditionalFormatting sqref="B43:O43">
    <cfRule type="expression" dxfId="47" priority="36">
      <formula>B43&lt;15</formula>
    </cfRule>
  </conditionalFormatting>
  <conditionalFormatting sqref="B52:O52">
    <cfRule type="expression" dxfId="46" priority="35">
      <formula>B52&lt;15</formula>
    </cfRule>
  </conditionalFormatting>
  <conditionalFormatting sqref="D467">
    <cfRule type="expression" dxfId="45" priority="26">
      <formula>D465&lt;15</formula>
    </cfRule>
  </conditionalFormatting>
  <conditionalFormatting sqref="E467">
    <cfRule type="expression" dxfId="44" priority="27">
      <formula>D465&lt;15</formula>
    </cfRule>
  </conditionalFormatting>
  <conditionalFormatting sqref="D468">
    <cfRule type="expression" dxfId="43" priority="28">
      <formula>D465&lt;15</formula>
    </cfRule>
  </conditionalFormatting>
  <conditionalFormatting sqref="E468">
    <cfRule type="expression" dxfId="42" priority="29">
      <formula>D465&lt;15</formula>
    </cfRule>
  </conditionalFormatting>
  <conditionalFormatting sqref="D469">
    <cfRule type="expression" dxfId="41" priority="30">
      <formula>D465&lt;15</formula>
    </cfRule>
  </conditionalFormatting>
  <conditionalFormatting sqref="E469">
    <cfRule type="expression" dxfId="40" priority="31">
      <formula>D465&lt;15</formula>
    </cfRule>
  </conditionalFormatting>
  <conditionalFormatting sqref="H20">
    <cfRule type="expression" dxfId="39" priority="19">
      <formula>H16&gt;15</formula>
    </cfRule>
  </conditionalFormatting>
  <conditionalFormatting sqref="B54">
    <cfRule type="expression" dxfId="38" priority="13">
      <formula>B52&lt;15</formula>
    </cfRule>
  </conditionalFormatting>
  <conditionalFormatting sqref="C54">
    <cfRule type="expression" dxfId="37" priority="14">
      <formula>B52&lt;15</formula>
    </cfRule>
  </conditionalFormatting>
  <conditionalFormatting sqref="B55">
    <cfRule type="expression" dxfId="36" priority="15">
      <formula>B52&lt;15</formula>
    </cfRule>
  </conditionalFormatting>
  <conditionalFormatting sqref="C55">
    <cfRule type="expression" dxfId="35" priority="16">
      <formula>B52&lt;15</formula>
    </cfRule>
  </conditionalFormatting>
  <conditionalFormatting sqref="B56">
    <cfRule type="expression" dxfId="34" priority="17">
      <formula>B52&lt;15</formula>
    </cfRule>
  </conditionalFormatting>
  <conditionalFormatting sqref="C56">
    <cfRule type="expression" dxfId="33" priority="18">
      <formula>B52&lt;15</formula>
    </cfRule>
  </conditionalFormatting>
  <conditionalFormatting sqref="B290 D290">
    <cfRule type="expression" dxfId="32" priority="7">
      <formula>B288&lt;15</formula>
    </cfRule>
  </conditionalFormatting>
  <conditionalFormatting sqref="C290 E290">
    <cfRule type="expression" dxfId="31" priority="8">
      <formula>B288&lt;15</formula>
    </cfRule>
  </conditionalFormatting>
  <conditionalFormatting sqref="B291 D291">
    <cfRule type="expression" dxfId="30" priority="9">
      <formula>B288&lt;15</formula>
    </cfRule>
  </conditionalFormatting>
  <conditionalFormatting sqref="C291 E291">
    <cfRule type="expression" dxfId="29" priority="10">
      <formula>B288&lt;15</formula>
    </cfRule>
  </conditionalFormatting>
  <conditionalFormatting sqref="B292 D292">
    <cfRule type="expression" dxfId="28" priority="11">
      <formula>B288&lt;15</formula>
    </cfRule>
  </conditionalFormatting>
  <conditionalFormatting sqref="C292 E292">
    <cfRule type="expression" dxfId="27" priority="12">
      <formula>B288&lt;15</formula>
    </cfRule>
  </conditionalFormatting>
  <conditionalFormatting sqref="B585">
    <cfRule type="expression" dxfId="26" priority="1">
      <formula>B583&lt;15</formula>
    </cfRule>
  </conditionalFormatting>
  <conditionalFormatting sqref="C585">
    <cfRule type="expression" dxfId="25" priority="2">
      <formula>B583&lt;15</formula>
    </cfRule>
  </conditionalFormatting>
  <conditionalFormatting sqref="B586">
    <cfRule type="expression" dxfId="24" priority="3">
      <formula>B583&lt;15</formula>
    </cfRule>
  </conditionalFormatting>
  <conditionalFormatting sqref="C586">
    <cfRule type="expression" dxfId="23" priority="4">
      <formula>B583&lt;15</formula>
    </cfRule>
  </conditionalFormatting>
  <conditionalFormatting sqref="B587">
    <cfRule type="expression" dxfId="22" priority="5">
      <formula>B583&lt;15</formula>
    </cfRule>
  </conditionalFormatting>
  <conditionalFormatting sqref="C587">
    <cfRule type="expression" dxfId="21" priority="6">
      <formula>B583&lt;15</formula>
    </cfRule>
  </conditionalFormatting>
  <printOptions horizontalCentered="1" verticalCentered="1"/>
  <pageMargins left="0.31496062992125984" right="0.27559055118110237" top="0.35433070866141736" bottom="0.35433070866141736" header="0.31496062992125984" footer="0.31496062992125984"/>
  <pageSetup paperSize="9" scale="75" orientation="landscape" r:id="rId1"/>
  <rowBreaks count="11" manualBreakCount="11">
    <brk id="59" min="1" max="14" man="1"/>
    <brk id="118" min="1" max="14" man="1"/>
    <brk id="177" min="1" max="14" man="1"/>
    <brk id="236" min="1" max="14" man="1"/>
    <brk id="295" min="1" max="14" man="1"/>
    <brk id="354" min="1" max="14" man="1"/>
    <brk id="413" min="1" max="14" man="1"/>
    <brk id="472" min="1" max="14" man="1"/>
    <brk id="531" min="1" max="14" man="1"/>
    <brk id="590" min="1" max="14" man="1"/>
    <brk id="649" min="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Navngivne områder</vt:lpstr>
      </vt:variant>
      <vt:variant>
        <vt:i4>69</vt:i4>
      </vt:variant>
    </vt:vector>
  </HeadingPairs>
  <TitlesOfParts>
    <vt:vector size="74" baseType="lpstr">
      <vt:lpstr>Dataark</vt:lpstr>
      <vt:lpstr>Betalingsopgørelse</vt:lpstr>
      <vt:lpstr>Tilmeldingsoversigt</vt:lpstr>
      <vt:lpstr>Tilmeldte måltider</vt:lpstr>
      <vt:lpstr>Til- og framelding</vt:lpstr>
      <vt:lpstr>Aftenpris</vt:lpstr>
      <vt:lpstr>Aftensmad</vt:lpstr>
      <vt:lpstr>aktive_måneder</vt:lpstr>
      <vt:lpstr>April</vt:lpstr>
      <vt:lpstr>april_sum</vt:lpstr>
      <vt:lpstr>august</vt:lpstr>
      <vt:lpstr>august_sum</vt:lpstr>
      <vt:lpstr>'Til- og framelding'!Begyndelsesmåned</vt:lpstr>
      <vt:lpstr>Begyndelsesmåned</vt:lpstr>
      <vt:lpstr>biret</vt:lpstr>
      <vt:lpstr>biretpris</vt:lpstr>
      <vt:lpstr>birettotal</vt:lpstr>
      <vt:lpstr>bolignr</vt:lpstr>
      <vt:lpstr>cpr</vt:lpstr>
      <vt:lpstr>dage_1halvår</vt:lpstr>
      <vt:lpstr>december</vt:lpstr>
      <vt:lpstr>december_sum</vt:lpstr>
      <vt:lpstr>Februar</vt:lpstr>
      <vt:lpstr>februar_sum</vt:lpstr>
      <vt:lpstr>Frokostpris</vt:lpstr>
      <vt:lpstr>gæstebpris</vt:lpstr>
      <vt:lpstr>gæstehpris</vt:lpstr>
      <vt:lpstr>gæstempltid_hovedret</vt:lpstr>
      <vt:lpstr>gæstemåltid</vt:lpstr>
      <vt:lpstr>gæstemåltid_biret</vt:lpstr>
      <vt:lpstr>hovedret</vt:lpstr>
      <vt:lpstr>hovedtotal</vt:lpstr>
      <vt:lpstr>Januar</vt:lpstr>
      <vt:lpstr>Januar_sum</vt:lpstr>
      <vt:lpstr>juli</vt:lpstr>
      <vt:lpstr>juli_sum</vt:lpstr>
      <vt:lpstr>Juni</vt:lpstr>
      <vt:lpstr>juni_sum</vt:lpstr>
      <vt:lpstr>'Til- og framelding'!Kolonnetitel1</vt:lpstr>
      <vt:lpstr>Kolonnetitel1</vt:lpstr>
      <vt:lpstr>Maj</vt:lpstr>
      <vt:lpstr>maj_sum</vt:lpstr>
      <vt:lpstr>Marts</vt:lpstr>
      <vt:lpstr>marts_sum</vt:lpstr>
      <vt:lpstr>mellemmåltid</vt:lpstr>
      <vt:lpstr>mellemmåltidspris</vt:lpstr>
      <vt:lpstr>Morgenmad</vt:lpstr>
      <vt:lpstr>Morgenpris</vt:lpstr>
      <vt:lpstr>'Til- og framelding'!Måned1</vt:lpstr>
      <vt:lpstr>'Tilmeldte måltider'!Måned1</vt:lpstr>
      <vt:lpstr>månedligtotal</vt:lpstr>
      <vt:lpstr>månedspris</vt:lpstr>
      <vt:lpstr>navn</vt:lpstr>
      <vt:lpstr>november</vt:lpstr>
      <vt:lpstr>november_sum</vt:lpstr>
      <vt:lpstr>oktober</vt:lpstr>
      <vt:lpstr>oktober_sum</vt:lpstr>
      <vt:lpstr>plejehjem</vt:lpstr>
      <vt:lpstr>RækkeTitelOmråde1..C4</vt:lpstr>
      <vt:lpstr>RækkeTitelOmråde2..G4</vt:lpstr>
      <vt:lpstr>september</vt:lpstr>
      <vt:lpstr>september_sum</vt:lpstr>
      <vt:lpstr>slut_februar</vt:lpstr>
      <vt:lpstr>slut_måned</vt:lpstr>
      <vt:lpstr>start_måned</vt:lpstr>
      <vt:lpstr>sted</vt:lpstr>
      <vt:lpstr>til_februar</vt:lpstr>
      <vt:lpstr>til_januar</vt:lpstr>
      <vt:lpstr>'Til- og framelding'!Udskriftsområde</vt:lpstr>
      <vt:lpstr>Tilmeldingsoversigt!Udskriftsområde</vt:lpstr>
      <vt:lpstr>'Tilmeldte måltider'!Udskriftsområde</vt:lpstr>
      <vt:lpstr>Betalingsopgørelse!Udskriftstitler</vt:lpstr>
      <vt:lpstr>'Til- og framelding'!Udskriftstitler</vt:lpstr>
      <vt:lpstr>'Tilmeldte måltider'!Udskriftstitler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2018-07-26T05:40:55Z</dcterms:created>
  <dcterms:modified xsi:type="dcterms:W3CDTF">2023-11-30T11:32:15Z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MetadataId">
    <vt:lpwstr>23000293022-11140822580438</vt:lpwstr>
  </property>
  <property fmtid="{D5CDD505-2E9C-101B-9397-08002B2CF9AE}" pid="3" name="DocumentNumber">
    <vt:lpwstr>D2022-4709</vt:lpwstr>
  </property>
  <property fmtid="{D5CDD505-2E9C-101B-9397-08002B2CF9AE}" pid="4" name="DocumentContentId">
    <vt:lpwstr>760705882C2B40E081E61D2F6A4AADD9</vt:lpwstr>
  </property>
  <property fmtid="{D5CDD505-2E9C-101B-9397-08002B2CF9AE}" pid="5" name="DocumentReadOnly">
    <vt:lpwstr>False</vt:lpwstr>
  </property>
  <property fmtid="{D5CDD505-2E9C-101B-9397-08002B2CF9AE}" pid="6" name="IsNovaDocument">
    <vt:lpwstr>True</vt:lpwstr>
  </property>
</Properties>
</file>